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Учебные планы\Учебные планы 2019_20\ИС 2019_23\ИСП\"/>
    </mc:Choice>
  </mc:AlternateContent>
  <xr:revisionPtr revIDLastSave="0" documentId="13_ncr:1_{3B7D2D76-C845-4B3A-A9D2-CEB5A67041E9}" xr6:coauthVersionLast="45" xr6:coauthVersionMax="45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Титул" sheetId="9" r:id="rId1"/>
    <sheet name="Сводные данные по бюджету време" sheetId="6" r:id="rId2"/>
    <sheet name="график" sheetId="4" r:id="rId3"/>
    <sheet name="!план для правки" sheetId="12" r:id="rId4"/>
    <sheet name="план короткий (НЕ ПРАВИТЬ)" sheetId="11" r:id="rId5"/>
    <sheet name="Кабинеты" sheetId="13" r:id="rId6"/>
    <sheet name="экзамены" sheetId="1" r:id="rId7"/>
    <sheet name="практика и ДЭ" sheetId="10" r:id="rId8"/>
  </sheets>
  <definedNames>
    <definedName name="а1" localSheetId="3">'!план для правки'!#REF!</definedName>
    <definedName name="а1">экзамены!$M$51</definedName>
    <definedName name="_xlnm.Print_Area" localSheetId="3">'!план для правки'!$A$1:$CL$123</definedName>
    <definedName name="_xlnm.Print_Area" localSheetId="4">'план короткий (НЕ ПРАВИТЬ)'!$A$1:$S$105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7" i="12" l="1"/>
  <c r="R6" i="12" s="1"/>
  <c r="S7" i="12"/>
  <c r="T7" i="12"/>
  <c r="T6" i="12" s="1"/>
  <c r="U7" i="12"/>
  <c r="V7" i="12"/>
  <c r="V6" i="12" s="1"/>
  <c r="P8" i="12"/>
  <c r="Q8" i="12"/>
  <c r="Q9" i="12"/>
  <c r="P10" i="12"/>
  <c r="Q10" i="12" s="1"/>
  <c r="P11" i="12"/>
  <c r="Q11" i="12" s="1"/>
  <c r="P12" i="12"/>
  <c r="Q12" i="12" s="1"/>
  <c r="P13" i="12"/>
  <c r="Q13" i="12" s="1"/>
  <c r="Q14" i="12"/>
  <c r="P15" i="12"/>
  <c r="Q15" i="12"/>
  <c r="R17" i="12"/>
  <c r="S17" i="12"/>
  <c r="S6" i="12" s="1"/>
  <c r="T17" i="12"/>
  <c r="U17" i="12"/>
  <c r="U6" i="12" s="1"/>
  <c r="V17" i="12"/>
  <c r="P18" i="12"/>
  <c r="P17" i="12" s="1"/>
  <c r="P19" i="12"/>
  <c r="Q19" i="12" s="1"/>
  <c r="P20" i="12"/>
  <c r="Q20" i="12" s="1"/>
  <c r="P21" i="12"/>
  <c r="Q21" i="12" s="1"/>
  <c r="Q22" i="12"/>
  <c r="P23" i="12"/>
  <c r="R23" i="12"/>
  <c r="S23" i="12"/>
  <c r="T23" i="12"/>
  <c r="U23" i="12"/>
  <c r="V23" i="12"/>
  <c r="Q24" i="12"/>
  <c r="Q23" i="12" s="1"/>
  <c r="R26" i="12"/>
  <c r="S26" i="12"/>
  <c r="T26" i="12"/>
  <c r="U26" i="12"/>
  <c r="V26" i="12"/>
  <c r="P27" i="12"/>
  <c r="P26" i="12" s="1"/>
  <c r="P28" i="12"/>
  <c r="Q28" i="12" s="1"/>
  <c r="P29" i="12"/>
  <c r="Q29" i="12" s="1"/>
  <c r="P30" i="12"/>
  <c r="Q30" i="12" s="1"/>
  <c r="P31" i="12"/>
  <c r="Q31" i="12" s="1"/>
  <c r="P32" i="12"/>
  <c r="Q32" i="12" s="1"/>
  <c r="P33" i="12"/>
  <c r="Q33" i="12" s="1"/>
  <c r="P35" i="12"/>
  <c r="R35" i="12"/>
  <c r="S35" i="12"/>
  <c r="T35" i="12"/>
  <c r="U35" i="12"/>
  <c r="V35" i="12"/>
  <c r="P36" i="12"/>
  <c r="Q36" i="12"/>
  <c r="Q35" i="12" s="1"/>
  <c r="P37" i="12"/>
  <c r="Q37" i="12"/>
  <c r="P38" i="12"/>
  <c r="Q38" i="12"/>
  <c r="R40" i="12"/>
  <c r="S40" i="12"/>
  <c r="T40" i="12"/>
  <c r="U40" i="12"/>
  <c r="V40" i="12"/>
  <c r="P41" i="12"/>
  <c r="P40" i="12" s="1"/>
  <c r="P42" i="12"/>
  <c r="Q42" i="12" s="1"/>
  <c r="P43" i="12"/>
  <c r="Q43" i="12" s="1"/>
  <c r="P44" i="12"/>
  <c r="Q44" i="12" s="1"/>
  <c r="P45" i="12"/>
  <c r="Q45" i="12" s="1"/>
  <c r="P46" i="12"/>
  <c r="Q46" i="12" s="1"/>
  <c r="P47" i="12"/>
  <c r="Q47" i="12" s="1"/>
  <c r="P48" i="12"/>
  <c r="Q48" i="12" s="1"/>
  <c r="P49" i="12"/>
  <c r="Q49" i="12" s="1"/>
  <c r="P50" i="12"/>
  <c r="Q50" i="12" s="1"/>
  <c r="P51" i="12"/>
  <c r="Q51" i="12" s="1"/>
  <c r="P52" i="12"/>
  <c r="Q52" i="12" s="1"/>
  <c r="P53" i="12"/>
  <c r="Q53" i="12" s="1"/>
  <c r="R57" i="12"/>
  <c r="S57" i="12"/>
  <c r="S55" i="12" s="1"/>
  <c r="T57" i="12"/>
  <c r="U57" i="12"/>
  <c r="U55" i="12" s="1"/>
  <c r="V57" i="12"/>
  <c r="P58" i="12"/>
  <c r="P57" i="12" s="1"/>
  <c r="P59" i="12"/>
  <c r="Q59" i="12" s="1"/>
  <c r="P60" i="12"/>
  <c r="Q60" i="12" s="1"/>
  <c r="P61" i="12"/>
  <c r="Q61" i="12" s="1"/>
  <c r="P62" i="12"/>
  <c r="Q62" i="12" s="1"/>
  <c r="P63" i="12"/>
  <c r="Q63" i="12" s="1"/>
  <c r="P65" i="12"/>
  <c r="R65" i="12"/>
  <c r="R55" i="12" s="1"/>
  <c r="S65" i="12"/>
  <c r="T65" i="12"/>
  <c r="T55" i="12" s="1"/>
  <c r="U65" i="12"/>
  <c r="V65" i="12"/>
  <c r="V55" i="12" s="1"/>
  <c r="P66" i="12"/>
  <c r="Q66" i="12"/>
  <c r="Q65" i="12" s="1"/>
  <c r="P67" i="12"/>
  <c r="Q67" i="12"/>
  <c r="P68" i="12"/>
  <c r="Q68" i="12"/>
  <c r="P69" i="12"/>
  <c r="Q69" i="12"/>
  <c r="P70" i="12"/>
  <c r="Q70" i="12"/>
  <c r="R72" i="12"/>
  <c r="S72" i="12"/>
  <c r="T72" i="12"/>
  <c r="U72" i="12"/>
  <c r="V72" i="12"/>
  <c r="P73" i="12"/>
  <c r="P72" i="12" s="1"/>
  <c r="P74" i="12"/>
  <c r="Q74" i="12" s="1"/>
  <c r="P75" i="12"/>
  <c r="Q75" i="12" s="1"/>
  <c r="P76" i="12"/>
  <c r="Q76" i="12" s="1"/>
  <c r="P77" i="12"/>
  <c r="Q77" i="12" s="1"/>
  <c r="P78" i="12"/>
  <c r="Q78" i="12" s="1"/>
  <c r="Q79" i="12"/>
  <c r="Q80" i="12"/>
  <c r="P82" i="12"/>
  <c r="R82" i="12"/>
  <c r="S82" i="12"/>
  <c r="T82" i="12"/>
  <c r="U82" i="12"/>
  <c r="V82" i="12"/>
  <c r="P83" i="12"/>
  <c r="Q83" i="12"/>
  <c r="Q82" i="12" s="1"/>
  <c r="P84" i="12"/>
  <c r="Q84" i="12"/>
  <c r="P85" i="12"/>
  <c r="Q85" i="12"/>
  <c r="P86" i="12"/>
  <c r="Q86" i="12"/>
  <c r="P87" i="12"/>
  <c r="Q87" i="12"/>
  <c r="P88" i="12"/>
  <c r="Q88" i="12"/>
  <c r="P89" i="12"/>
  <c r="Q89" i="12"/>
  <c r="R91" i="12"/>
  <c r="S91" i="12"/>
  <c r="T91" i="12"/>
  <c r="U91" i="12"/>
  <c r="V91" i="12"/>
  <c r="P92" i="12"/>
  <c r="P91" i="12" s="1"/>
  <c r="P93" i="12"/>
  <c r="Q93" i="12" s="1"/>
  <c r="P94" i="12"/>
  <c r="Q94" i="12" s="1"/>
  <c r="P95" i="12"/>
  <c r="Q95" i="12" s="1"/>
  <c r="P96" i="12"/>
  <c r="Q96" i="12" s="1"/>
  <c r="Q113" i="12"/>
  <c r="R113" i="12"/>
  <c r="S113" i="12"/>
  <c r="U113" i="12"/>
  <c r="V113" i="12"/>
  <c r="Q114" i="12"/>
  <c r="R114" i="12"/>
  <c r="S114" i="12"/>
  <c r="R122" i="12" s="1"/>
  <c r="U114" i="12"/>
  <c r="V114" i="12"/>
  <c r="Q115" i="12"/>
  <c r="R115" i="12"/>
  <c r="S115" i="12"/>
  <c r="U115" i="12"/>
  <c r="V115" i="12"/>
  <c r="Q116" i="12"/>
  <c r="R116" i="12"/>
  <c r="S116" i="12"/>
  <c r="U116" i="12"/>
  <c r="V116" i="12"/>
  <c r="Q117" i="12"/>
  <c r="R117" i="12"/>
  <c r="S117" i="12"/>
  <c r="U117" i="12"/>
  <c r="V117" i="12"/>
  <c r="Q118" i="12"/>
  <c r="R118" i="12"/>
  <c r="S118" i="12"/>
  <c r="U118" i="12"/>
  <c r="V118" i="12"/>
  <c r="R121" i="12"/>
  <c r="V121" i="12"/>
  <c r="V122" i="12"/>
  <c r="P55" i="12" l="1"/>
  <c r="U100" i="12"/>
  <c r="S100" i="12"/>
  <c r="Q7" i="12"/>
  <c r="T100" i="12"/>
  <c r="R100" i="12"/>
  <c r="P7" i="12"/>
  <c r="P6" i="12" s="1"/>
  <c r="P100" i="12" s="1"/>
  <c r="Q92" i="12"/>
  <c r="Q91" i="12" s="1"/>
  <c r="Q73" i="12"/>
  <c r="Q72" i="12" s="1"/>
  <c r="Q58" i="12"/>
  <c r="Q57" i="12" s="1"/>
  <c r="Q41" i="12"/>
  <c r="Q40" i="12" s="1"/>
  <c r="Q27" i="12"/>
  <c r="Q26" i="12" s="1"/>
  <c r="Q18" i="12"/>
  <c r="Q17" i="12" s="1"/>
  <c r="S19" i="11"/>
  <c r="S28" i="11"/>
  <c r="S30" i="11"/>
  <c r="S32" i="11"/>
  <c r="S33" i="11"/>
  <c r="S34" i="11"/>
  <c r="S37" i="11"/>
  <c r="S42" i="11"/>
  <c r="S48" i="11"/>
  <c r="S52" i="11"/>
  <c r="S57" i="11"/>
  <c r="S59" i="11"/>
  <c r="S64" i="11"/>
  <c r="S65" i="11"/>
  <c r="S67" i="11"/>
  <c r="S72" i="11"/>
  <c r="S74" i="11"/>
  <c r="S84" i="11"/>
  <c r="S91" i="11"/>
  <c r="S93" i="11"/>
  <c r="S100" i="11"/>
  <c r="S101" i="11"/>
  <c r="S102" i="11"/>
  <c r="R19" i="11"/>
  <c r="R28" i="11"/>
  <c r="R37" i="11"/>
  <c r="R42" i="11"/>
  <c r="R57" i="11"/>
  <c r="R59" i="11"/>
  <c r="R64" i="11"/>
  <c r="R65" i="11"/>
  <c r="R67" i="11"/>
  <c r="R70" i="11"/>
  <c r="R72" i="11"/>
  <c r="R73" i="11"/>
  <c r="R74" i="11"/>
  <c r="R80" i="11"/>
  <c r="R82" i="11"/>
  <c r="R84" i="11"/>
  <c r="R93" i="11"/>
  <c r="R98" i="11"/>
  <c r="R100" i="11"/>
  <c r="R101" i="11"/>
  <c r="R102" i="11"/>
  <c r="Q19" i="11"/>
  <c r="Q28" i="11"/>
  <c r="Q37" i="11"/>
  <c r="Q42" i="11"/>
  <c r="Q57" i="11"/>
  <c r="Q59" i="11"/>
  <c r="Q64" i="11"/>
  <c r="Q65" i="11"/>
  <c r="Q67" i="11"/>
  <c r="Q72" i="11"/>
  <c r="Q74" i="11"/>
  <c r="Q82" i="11"/>
  <c r="Q84" i="11"/>
  <c r="Q90" i="11"/>
  <c r="Q91" i="11"/>
  <c r="Q93" i="11"/>
  <c r="Q98" i="11"/>
  <c r="Q100" i="11"/>
  <c r="Q101" i="11"/>
  <c r="Q102" i="11"/>
  <c r="P19" i="11"/>
  <c r="P28" i="11"/>
  <c r="P37" i="11"/>
  <c r="P42" i="11"/>
  <c r="P57" i="11"/>
  <c r="P59" i="11"/>
  <c r="P64" i="11"/>
  <c r="P65" i="11"/>
  <c r="P67" i="11"/>
  <c r="P72" i="11"/>
  <c r="P74" i="11"/>
  <c r="P79" i="11"/>
  <c r="P80" i="11"/>
  <c r="P82" i="11"/>
  <c r="P84" i="11"/>
  <c r="P91" i="11"/>
  <c r="P93" i="11"/>
  <c r="P98" i="11"/>
  <c r="P100" i="11"/>
  <c r="P101" i="11"/>
  <c r="P102" i="11"/>
  <c r="O15" i="11"/>
  <c r="O19" i="11"/>
  <c r="O28" i="11"/>
  <c r="O37" i="11"/>
  <c r="O42" i="11"/>
  <c r="O57" i="11"/>
  <c r="O59" i="11"/>
  <c r="O65" i="11"/>
  <c r="O67" i="11"/>
  <c r="O72" i="11"/>
  <c r="O74" i="11"/>
  <c r="O79" i="11"/>
  <c r="O80" i="11"/>
  <c r="O82" i="11"/>
  <c r="O84" i="11"/>
  <c r="O91" i="11"/>
  <c r="O93" i="11"/>
  <c r="O98" i="11"/>
  <c r="O100" i="11"/>
  <c r="O101" i="11"/>
  <c r="O102" i="11"/>
  <c r="N19" i="11"/>
  <c r="N28" i="11"/>
  <c r="N37" i="11"/>
  <c r="N42" i="11"/>
  <c r="N57" i="11"/>
  <c r="N59" i="11"/>
  <c r="N64" i="11"/>
  <c r="N65" i="11"/>
  <c r="N67" i="11"/>
  <c r="N72" i="11"/>
  <c r="N74" i="11"/>
  <c r="N79" i="11"/>
  <c r="N80" i="11"/>
  <c r="N82" i="11"/>
  <c r="N84" i="11"/>
  <c r="N91" i="11"/>
  <c r="N93" i="11"/>
  <c r="N98" i="11"/>
  <c r="N100" i="11"/>
  <c r="N101" i="11"/>
  <c r="N102" i="11"/>
  <c r="M19" i="11"/>
  <c r="M28" i="11"/>
  <c r="M37" i="11"/>
  <c r="M42" i="11"/>
  <c r="M57" i="11"/>
  <c r="M59" i="11"/>
  <c r="M64" i="11"/>
  <c r="M65" i="11"/>
  <c r="M67" i="11"/>
  <c r="M72" i="11"/>
  <c r="M74" i="11"/>
  <c r="M79" i="11"/>
  <c r="M80" i="11"/>
  <c r="M82" i="11"/>
  <c r="M84" i="11"/>
  <c r="M91" i="11"/>
  <c r="M93" i="11"/>
  <c r="M98" i="11"/>
  <c r="M100" i="11"/>
  <c r="M101" i="11"/>
  <c r="M102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K104" i="11"/>
  <c r="L10" i="11"/>
  <c r="L19" i="11"/>
  <c r="L20" i="11"/>
  <c r="L26" i="11"/>
  <c r="L28" i="11"/>
  <c r="L37" i="11"/>
  <c r="L42" i="11"/>
  <c r="L57" i="11"/>
  <c r="L59" i="11"/>
  <c r="L67" i="11"/>
  <c r="L72" i="11"/>
  <c r="L74" i="11"/>
  <c r="L82" i="11"/>
  <c r="L84" i="11"/>
  <c r="L91" i="11"/>
  <c r="L93" i="11"/>
  <c r="L98" i="11"/>
  <c r="L100" i="11"/>
  <c r="L104" i="11"/>
  <c r="K10" i="11"/>
  <c r="K19" i="11"/>
  <c r="K20" i="11"/>
  <c r="K26" i="11"/>
  <c r="K28" i="11"/>
  <c r="K37" i="11"/>
  <c r="K42" i="11"/>
  <c r="K57" i="11"/>
  <c r="K59" i="11"/>
  <c r="K67" i="11"/>
  <c r="K72" i="11"/>
  <c r="K74" i="11"/>
  <c r="K82" i="11"/>
  <c r="K84" i="11"/>
  <c r="K91" i="11"/>
  <c r="K93" i="11"/>
  <c r="K98" i="11"/>
  <c r="K100" i="11"/>
  <c r="I10" i="11"/>
  <c r="I19" i="11"/>
  <c r="I20" i="11"/>
  <c r="I26" i="11"/>
  <c r="I28" i="11"/>
  <c r="I37" i="11"/>
  <c r="I42" i="11"/>
  <c r="I57" i="11"/>
  <c r="I59" i="11"/>
  <c r="I67" i="11"/>
  <c r="I72" i="11"/>
  <c r="I74" i="11"/>
  <c r="I82" i="11"/>
  <c r="I84" i="11"/>
  <c r="I91" i="11"/>
  <c r="I93" i="11"/>
  <c r="I98" i="11"/>
  <c r="I100" i="11"/>
  <c r="I104" i="11"/>
  <c r="H10" i="11"/>
  <c r="H19" i="11"/>
  <c r="H20" i="11"/>
  <c r="H26" i="11"/>
  <c r="H28" i="11"/>
  <c r="H37" i="11"/>
  <c r="H42" i="11"/>
  <c r="H57" i="11"/>
  <c r="H59" i="11"/>
  <c r="H67" i="11"/>
  <c r="H72" i="11"/>
  <c r="H74" i="11"/>
  <c r="H82" i="11"/>
  <c r="H84" i="11"/>
  <c r="H91" i="11"/>
  <c r="H93" i="11"/>
  <c r="H100" i="11"/>
  <c r="H104" i="11"/>
  <c r="G10" i="11"/>
  <c r="G19" i="11"/>
  <c r="G20" i="11"/>
  <c r="G26" i="11"/>
  <c r="G28" i="11"/>
  <c r="G37" i="11"/>
  <c r="G42" i="11"/>
  <c r="G57" i="11"/>
  <c r="G59" i="11"/>
  <c r="G67" i="11"/>
  <c r="G72" i="11"/>
  <c r="G74" i="11"/>
  <c r="G82" i="11"/>
  <c r="G84" i="11"/>
  <c r="G91" i="11"/>
  <c r="G93" i="11"/>
  <c r="G98" i="11"/>
  <c r="G100" i="11"/>
  <c r="G104" i="11"/>
  <c r="F10" i="11"/>
  <c r="F19" i="11"/>
  <c r="F20" i="11"/>
  <c r="F26" i="11"/>
  <c r="F28" i="11"/>
  <c r="F37" i="11"/>
  <c r="F42" i="11"/>
  <c r="F57" i="11"/>
  <c r="F59" i="11"/>
  <c r="F67" i="11"/>
  <c r="F74" i="11"/>
  <c r="F84" i="11"/>
  <c r="F93" i="11"/>
  <c r="F99" i="11"/>
  <c r="F100" i="11"/>
  <c r="F101" i="11"/>
  <c r="F102" i="11"/>
  <c r="F104" i="11"/>
  <c r="E9" i="11"/>
  <c r="D10" i="11"/>
  <c r="D19" i="11"/>
  <c r="D20" i="11"/>
  <c r="D28" i="11"/>
  <c r="D37" i="11"/>
  <c r="D42" i="11"/>
  <c r="D57" i="11"/>
  <c r="D59" i="11"/>
  <c r="D67" i="11"/>
  <c r="D72" i="11"/>
  <c r="D74" i="11"/>
  <c r="D84" i="11"/>
  <c r="D91" i="11"/>
  <c r="D93" i="11"/>
  <c r="D100" i="11"/>
  <c r="D101" i="11"/>
  <c r="D102" i="11"/>
  <c r="D104" i="11"/>
  <c r="C11" i="11"/>
  <c r="C12" i="11"/>
  <c r="C13" i="11"/>
  <c r="C14" i="11"/>
  <c r="C15" i="11"/>
  <c r="C16" i="11"/>
  <c r="C17" i="11"/>
  <c r="C18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B10" i="11"/>
  <c r="B11" i="11"/>
  <c r="B12" i="11"/>
  <c r="B13" i="11"/>
  <c r="B14" i="11"/>
  <c r="B15" i="11"/>
  <c r="B16" i="11"/>
  <c r="B17" i="11"/>
  <c r="B18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9" i="11"/>
  <c r="BR31" i="12"/>
  <c r="BR30" i="12"/>
  <c r="BS107" i="12"/>
  <c r="Q55" i="12" l="1"/>
  <c r="Q6" i="12"/>
  <c r="Q100" i="12" s="1"/>
  <c r="CE93" i="12"/>
  <c r="CE94" i="12"/>
  <c r="CE95" i="12"/>
  <c r="CE92" i="12"/>
  <c r="CD84" i="12"/>
  <c r="CE84" i="12" s="1"/>
  <c r="CD85" i="12"/>
  <c r="CE85" i="12" s="1"/>
  <c r="CD86" i="12"/>
  <c r="CE86" i="12" s="1"/>
  <c r="CD87" i="12"/>
  <c r="CE87" i="12" s="1"/>
  <c r="CD88" i="12"/>
  <c r="CE88" i="12" s="1"/>
  <c r="CD89" i="12"/>
  <c r="CE89" i="12" s="1"/>
  <c r="CD83" i="12"/>
  <c r="CE83" i="12" s="1"/>
  <c r="CE75" i="12"/>
  <c r="CE77" i="12"/>
  <c r="CE78" i="12"/>
  <c r="CE79" i="12"/>
  <c r="CE80" i="12"/>
  <c r="CD76" i="12"/>
  <c r="CE76" i="12" s="1"/>
  <c r="CD74" i="12"/>
  <c r="CE74" i="12" s="1"/>
  <c r="CD73" i="12"/>
  <c r="CE73" i="12" s="1"/>
  <c r="CD67" i="12"/>
  <c r="CE67" i="12" s="1"/>
  <c r="CD68" i="12"/>
  <c r="CE68" i="12" s="1"/>
  <c r="CD69" i="12"/>
  <c r="CE69" i="12" s="1"/>
  <c r="CD70" i="12"/>
  <c r="CE70" i="12" s="1"/>
  <c r="CD66" i="12"/>
  <c r="CE66" i="12" s="1"/>
  <c r="CD59" i="12"/>
  <c r="CE59" i="12" s="1"/>
  <c r="CD60" i="12"/>
  <c r="CE60" i="12" s="1"/>
  <c r="CD61" i="12"/>
  <c r="CE61" i="12" s="1"/>
  <c r="CD62" i="12"/>
  <c r="CE62" i="12" s="1"/>
  <c r="CD63" i="12"/>
  <c r="CE63" i="12" s="1"/>
  <c r="CD58" i="12"/>
  <c r="CE58" i="12" s="1"/>
  <c r="CE45" i="12"/>
  <c r="CE49" i="12"/>
  <c r="CD51" i="12"/>
  <c r="CE51" i="12" s="1"/>
  <c r="CD52" i="12"/>
  <c r="CE52" i="12" s="1"/>
  <c r="CD53" i="12"/>
  <c r="CE53" i="12" s="1"/>
  <c r="CD50" i="12"/>
  <c r="CE50" i="12" s="1"/>
  <c r="CD47" i="12"/>
  <c r="CE47" i="12" s="1"/>
  <c r="CD48" i="12"/>
  <c r="CE48" i="12" s="1"/>
  <c r="CD46" i="12"/>
  <c r="CE46" i="12" s="1"/>
  <c r="CD42" i="12"/>
  <c r="CE42" i="12" s="1"/>
  <c r="CD43" i="12"/>
  <c r="CE43" i="12" s="1"/>
  <c r="CD44" i="12"/>
  <c r="CE44" i="12" s="1"/>
  <c r="CD41" i="12"/>
  <c r="CE41" i="12" s="1"/>
  <c r="CD37" i="12"/>
  <c r="CE37" i="12" s="1"/>
  <c r="CD38" i="12"/>
  <c r="CE38" i="12" s="1"/>
  <c r="CD36" i="12"/>
  <c r="CE36" i="12" s="1"/>
  <c r="CE29" i="12"/>
  <c r="CE30" i="12"/>
  <c r="CE31" i="12"/>
  <c r="CD33" i="12"/>
  <c r="CE33" i="12" s="1"/>
  <c r="CD32" i="12"/>
  <c r="CE32" i="12" s="1"/>
  <c r="CD28" i="12"/>
  <c r="CE28" i="12" s="1"/>
  <c r="CD24" i="12"/>
  <c r="CE24" i="12" s="1"/>
  <c r="CD19" i="12"/>
  <c r="CE19" i="12" s="1"/>
  <c r="CD20" i="12"/>
  <c r="CE20" i="12" s="1"/>
  <c r="CD21" i="12"/>
  <c r="CE21" i="12" s="1"/>
  <c r="CD22" i="12"/>
  <c r="CE22" i="12" s="1"/>
  <c r="CD18" i="12"/>
  <c r="CE18" i="12" s="1"/>
  <c r="CD9" i="12"/>
  <c r="CE9" i="12" s="1"/>
  <c r="CD10" i="12"/>
  <c r="CE10" i="12" s="1"/>
  <c r="CD11" i="12"/>
  <c r="CE11" i="12" s="1"/>
  <c r="CD12" i="12"/>
  <c r="CE12" i="12" s="1"/>
  <c r="CD13" i="12"/>
  <c r="CE13" i="12" s="1"/>
  <c r="CD14" i="12"/>
  <c r="CE14" i="12" s="1"/>
  <c r="CD15" i="12"/>
  <c r="CE15" i="12" s="1"/>
  <c r="CD8" i="12"/>
  <c r="CE8" i="12" s="1"/>
  <c r="BS93" i="12"/>
  <c r="BT93" i="12" s="1"/>
  <c r="BS94" i="12"/>
  <c r="BT94" i="12" s="1"/>
  <c r="BS95" i="12"/>
  <c r="BT95" i="12" s="1"/>
  <c r="BS96" i="12"/>
  <c r="BT96" i="12" s="1"/>
  <c r="BS92" i="12"/>
  <c r="BT92" i="12" s="1"/>
  <c r="BH93" i="12"/>
  <c r="BI93" i="12" s="1"/>
  <c r="BH94" i="12"/>
  <c r="BI94" i="12" s="1"/>
  <c r="BH95" i="12"/>
  <c r="BI95" i="12" s="1"/>
  <c r="BH96" i="12"/>
  <c r="BI96" i="12" s="1"/>
  <c r="BH92" i="12"/>
  <c r="BI92" i="12" s="1"/>
  <c r="AW93" i="12"/>
  <c r="AX93" i="12" s="1"/>
  <c r="AW94" i="12"/>
  <c r="AX94" i="12" s="1"/>
  <c r="AW95" i="12"/>
  <c r="AX95" i="12" s="1"/>
  <c r="AW96" i="12"/>
  <c r="AX96" i="12" s="1"/>
  <c r="AW92" i="12"/>
  <c r="AX92" i="12" s="1"/>
  <c r="BT84" i="12"/>
  <c r="BT87" i="12"/>
  <c r="BT88" i="12"/>
  <c r="BT83" i="12"/>
  <c r="BS89" i="12"/>
  <c r="BT89" i="12" s="1"/>
  <c r="BH84" i="12"/>
  <c r="BI84" i="12" s="1"/>
  <c r="BH85" i="12"/>
  <c r="BI85" i="12" s="1"/>
  <c r="BH86" i="12"/>
  <c r="BI86" i="12" s="1"/>
  <c r="BH87" i="12"/>
  <c r="BI87" i="12" s="1"/>
  <c r="BH88" i="12"/>
  <c r="BI88" i="12" s="1"/>
  <c r="BH89" i="12"/>
  <c r="BI89" i="12" s="1"/>
  <c r="BH83" i="12"/>
  <c r="BI83" i="12" s="1"/>
  <c r="AX85" i="12"/>
  <c r="AW87" i="12"/>
  <c r="AX87" i="12" s="1"/>
  <c r="AW88" i="12"/>
  <c r="AX88" i="12" s="1"/>
  <c r="AW89" i="12"/>
  <c r="AX89" i="12" s="1"/>
  <c r="AW86" i="12"/>
  <c r="AX86" i="12" s="1"/>
  <c r="AW84" i="12"/>
  <c r="AX84" i="12" s="1"/>
  <c r="AW83" i="12"/>
  <c r="AX83" i="12" s="1"/>
  <c r="BT78" i="12"/>
  <c r="BT79" i="12"/>
  <c r="BS80" i="12"/>
  <c r="BT80" i="12" s="1"/>
  <c r="BI79" i="12"/>
  <c r="BI73" i="12"/>
  <c r="BH80" i="12"/>
  <c r="BI80" i="12" s="1"/>
  <c r="BH75" i="12"/>
  <c r="BI75" i="12" s="1"/>
  <c r="BH76" i="12"/>
  <c r="BI76" i="12" s="1"/>
  <c r="BH77" i="12"/>
  <c r="BI77" i="12" s="1"/>
  <c r="BH74" i="12"/>
  <c r="BI74" i="12" s="1"/>
  <c r="AW74" i="12"/>
  <c r="AX74" i="12" s="1"/>
  <c r="AW75" i="12"/>
  <c r="AX75" i="12" s="1"/>
  <c r="AW76" i="12"/>
  <c r="AX76" i="12" s="1"/>
  <c r="AW77" i="12"/>
  <c r="AX77" i="12" s="1"/>
  <c r="AW78" i="12"/>
  <c r="AX78" i="12" s="1"/>
  <c r="AW79" i="12"/>
  <c r="AX79" i="12" s="1"/>
  <c r="AW80" i="12"/>
  <c r="AX80" i="12" s="1"/>
  <c r="AW73" i="12"/>
  <c r="AX73" i="12" s="1"/>
  <c r="BS67" i="12"/>
  <c r="BT67" i="12" s="1"/>
  <c r="BS68" i="12"/>
  <c r="BT68" i="12" s="1"/>
  <c r="BS69" i="12"/>
  <c r="BT69" i="12" s="1"/>
  <c r="BS70" i="12"/>
  <c r="BT70" i="12" s="1"/>
  <c r="BS66" i="12"/>
  <c r="BT66" i="12" s="1"/>
  <c r="BI67" i="12"/>
  <c r="BI68" i="12"/>
  <c r="BI69" i="12"/>
  <c r="BH70" i="12"/>
  <c r="BI70" i="12" s="1"/>
  <c r="BH66" i="12"/>
  <c r="BI66" i="12" s="1"/>
  <c r="AW67" i="12"/>
  <c r="AX67" i="12" s="1"/>
  <c r="AW68" i="12"/>
  <c r="AX68" i="12" s="1"/>
  <c r="AW69" i="12"/>
  <c r="AX69" i="12" s="1"/>
  <c r="AW70" i="12"/>
  <c r="AX70" i="12" s="1"/>
  <c r="AW66" i="12"/>
  <c r="AX66" i="12" s="1"/>
  <c r="BS59" i="12"/>
  <c r="BT59" i="12" s="1"/>
  <c r="BS60" i="12"/>
  <c r="BT60" i="12" s="1"/>
  <c r="BS61" i="12"/>
  <c r="BT61" i="12" s="1"/>
  <c r="BS62" i="12"/>
  <c r="BT62" i="12" s="1"/>
  <c r="BS63" i="12"/>
  <c r="BT63" i="12" s="1"/>
  <c r="BS58" i="12"/>
  <c r="BT58" i="12" s="1"/>
  <c r="BH59" i="12"/>
  <c r="BI59" i="12" s="1"/>
  <c r="BH60" i="12"/>
  <c r="BI60" i="12" s="1"/>
  <c r="BH61" i="12"/>
  <c r="BI61" i="12" s="1"/>
  <c r="BH62" i="12"/>
  <c r="BI62" i="12" s="1"/>
  <c r="BH63" i="12"/>
  <c r="BI63" i="12" s="1"/>
  <c r="BH58" i="12"/>
  <c r="BI58" i="12" s="1"/>
  <c r="AX59" i="12"/>
  <c r="AX60" i="12"/>
  <c r="AX61" i="12"/>
  <c r="AX62" i="12"/>
  <c r="AW63" i="12"/>
  <c r="AX63" i="12" s="1"/>
  <c r="AW58" i="12"/>
  <c r="AX58" i="12" s="1"/>
  <c r="BT46" i="12"/>
  <c r="BT52" i="12"/>
  <c r="BT53" i="12"/>
  <c r="BS41" i="12"/>
  <c r="BT41" i="12" s="1"/>
  <c r="BS42" i="12"/>
  <c r="BT42" i="12" s="1"/>
  <c r="BS43" i="12"/>
  <c r="BT43" i="12" s="1"/>
  <c r="BS44" i="12"/>
  <c r="BT44" i="12" s="1"/>
  <c r="BS51" i="12"/>
  <c r="BT51" i="12" s="1"/>
  <c r="BS48" i="12"/>
  <c r="BT48" i="12" s="1"/>
  <c r="BS49" i="12"/>
  <c r="BT49" i="12" s="1"/>
  <c r="BS47" i="12"/>
  <c r="BT47" i="12" s="1"/>
  <c r="BS45" i="12"/>
  <c r="BT45" i="12" s="1"/>
  <c r="BI47" i="12"/>
  <c r="BH42" i="12"/>
  <c r="BI42" i="12" s="1"/>
  <c r="BH43" i="12"/>
  <c r="BI43" i="12" s="1"/>
  <c r="BH44" i="12"/>
  <c r="BI44" i="12" s="1"/>
  <c r="BH45" i="12"/>
  <c r="BI45" i="12" s="1"/>
  <c r="BH46" i="12"/>
  <c r="BI46" i="12" s="1"/>
  <c r="BH47" i="12"/>
  <c r="BH48" i="12"/>
  <c r="BI48" i="12" s="1"/>
  <c r="BH49" i="12"/>
  <c r="BI49" i="12" s="1"/>
  <c r="BH50" i="12"/>
  <c r="BI50" i="12" s="1"/>
  <c r="BH51" i="12"/>
  <c r="BI51" i="12" s="1"/>
  <c r="BH52" i="12"/>
  <c r="BI52" i="12" s="1"/>
  <c r="BH53" i="12"/>
  <c r="BI53" i="12" s="1"/>
  <c r="BH41" i="12"/>
  <c r="BI41" i="12" s="1"/>
  <c r="AW42" i="12"/>
  <c r="AX42" i="12" s="1"/>
  <c r="AW43" i="12"/>
  <c r="AX43" i="12" s="1"/>
  <c r="AW44" i="12"/>
  <c r="AX44" i="12" s="1"/>
  <c r="AW45" i="12"/>
  <c r="AX45" i="12" s="1"/>
  <c r="AW46" i="12"/>
  <c r="AX46" i="12" s="1"/>
  <c r="AW47" i="12"/>
  <c r="AX47" i="12" s="1"/>
  <c r="AW48" i="12"/>
  <c r="AX48" i="12" s="1"/>
  <c r="AW49" i="12"/>
  <c r="AX49" i="12" s="1"/>
  <c r="AW50" i="12"/>
  <c r="AX50" i="12" s="1"/>
  <c r="AW51" i="12"/>
  <c r="AX51" i="12" s="1"/>
  <c r="AW52" i="12"/>
  <c r="AX52" i="12" s="1"/>
  <c r="AW53" i="12"/>
  <c r="AX53" i="12" s="1"/>
  <c r="AW41" i="12"/>
  <c r="AX41" i="12" s="1"/>
  <c r="BS37" i="12"/>
  <c r="BT37" i="12" s="1"/>
  <c r="BS38" i="12"/>
  <c r="BS36" i="12"/>
  <c r="BT36" i="12" s="1"/>
  <c r="BT38" i="12"/>
  <c r="BH37" i="12"/>
  <c r="BI37" i="12" s="1"/>
  <c r="BH38" i="12"/>
  <c r="BI38" i="12" s="1"/>
  <c r="BH36" i="12"/>
  <c r="BI36" i="12" s="1"/>
  <c r="AW37" i="12"/>
  <c r="AX37" i="12" s="1"/>
  <c r="AW38" i="12"/>
  <c r="AX38" i="12" s="1"/>
  <c r="AW36" i="12"/>
  <c r="AX36" i="12" s="1"/>
  <c r="BS28" i="12"/>
  <c r="BT28" i="12" s="1"/>
  <c r="BS29" i="12"/>
  <c r="BT29" i="12" s="1"/>
  <c r="BQ30" i="12"/>
  <c r="R33" i="11" s="1"/>
  <c r="BQ31" i="12"/>
  <c r="R34" i="11" s="1"/>
  <c r="BS32" i="12"/>
  <c r="BT32" i="12" s="1"/>
  <c r="BS33" i="12"/>
  <c r="BT33" i="12" s="1"/>
  <c r="BS27" i="12"/>
  <c r="BT27" i="12" s="1"/>
  <c r="BH28" i="12"/>
  <c r="BI28" i="12" s="1"/>
  <c r="BH29" i="12"/>
  <c r="BI29" i="12" s="1"/>
  <c r="BH30" i="12"/>
  <c r="BI30" i="12" s="1"/>
  <c r="BH31" i="12"/>
  <c r="BI31" i="12" s="1"/>
  <c r="BH32" i="12"/>
  <c r="BI32" i="12" s="1"/>
  <c r="BH33" i="12"/>
  <c r="BI33" i="12" s="1"/>
  <c r="BH27" i="12"/>
  <c r="BI27" i="12" s="1"/>
  <c r="AW28" i="12"/>
  <c r="AX28" i="12" s="1"/>
  <c r="AW29" i="12"/>
  <c r="AX29" i="12" s="1"/>
  <c r="AW30" i="12"/>
  <c r="AX30" i="12" s="1"/>
  <c r="AW31" i="12"/>
  <c r="AX31" i="12" s="1"/>
  <c r="AW32" i="12"/>
  <c r="AX32" i="12" s="1"/>
  <c r="AW33" i="12"/>
  <c r="AX33" i="12" s="1"/>
  <c r="AW27" i="12"/>
  <c r="AX27" i="12" s="1"/>
  <c r="BS24" i="12"/>
  <c r="BT24" i="12" s="1"/>
  <c r="BS19" i="12"/>
  <c r="BT19" i="12" s="1"/>
  <c r="BS20" i="12"/>
  <c r="BT20" i="12" s="1"/>
  <c r="BS21" i="12"/>
  <c r="BT21" i="12" s="1"/>
  <c r="BS22" i="12"/>
  <c r="BT22" i="12" s="1"/>
  <c r="BS18" i="12"/>
  <c r="BT18" i="12" s="1"/>
  <c r="BH24" i="12"/>
  <c r="BI24" i="12" s="1"/>
  <c r="BH19" i="12"/>
  <c r="BI19" i="12" s="1"/>
  <c r="BH20" i="12"/>
  <c r="BI20" i="12" s="1"/>
  <c r="BH21" i="12"/>
  <c r="BI21" i="12" s="1"/>
  <c r="BH22" i="12"/>
  <c r="BI22" i="12" s="1"/>
  <c r="BH18" i="12"/>
  <c r="BI18" i="12" s="1"/>
  <c r="AW24" i="12"/>
  <c r="AW19" i="12"/>
  <c r="AX19" i="12" s="1"/>
  <c r="AW20" i="12"/>
  <c r="AW21" i="12"/>
  <c r="AX21" i="12" s="1"/>
  <c r="AW22" i="12"/>
  <c r="AW18" i="12"/>
  <c r="AX18" i="12" s="1"/>
  <c r="BS9" i="12"/>
  <c r="BT9" i="12" s="1"/>
  <c r="BS10" i="12"/>
  <c r="BT10" i="12" s="1"/>
  <c r="BS11" i="12"/>
  <c r="BT11" i="12" s="1"/>
  <c r="BS12" i="12"/>
  <c r="BT12" i="12" s="1"/>
  <c r="BS13" i="12"/>
  <c r="BT13" i="12" s="1"/>
  <c r="BS14" i="12"/>
  <c r="BT14" i="12" s="1"/>
  <c r="BS15" i="12"/>
  <c r="BT15" i="12" s="1"/>
  <c r="BS8" i="12"/>
  <c r="BT8" i="12" s="1"/>
  <c r="BH9" i="12"/>
  <c r="BI9" i="12" s="1"/>
  <c r="BH10" i="12"/>
  <c r="BI10" i="12" s="1"/>
  <c r="BH11" i="12"/>
  <c r="BI11" i="12" s="1"/>
  <c r="BH12" i="12"/>
  <c r="BI12" i="12" s="1"/>
  <c r="BH13" i="12"/>
  <c r="BI13" i="12" s="1"/>
  <c r="BH14" i="12"/>
  <c r="BI14" i="12" s="1"/>
  <c r="BH15" i="12"/>
  <c r="BI15" i="12" s="1"/>
  <c r="BH8" i="12"/>
  <c r="BI8" i="12" s="1"/>
  <c r="AW9" i="12"/>
  <c r="AW10" i="12"/>
  <c r="AW11" i="12"/>
  <c r="AW12" i="12"/>
  <c r="AW13" i="12"/>
  <c r="AW14" i="12"/>
  <c r="AW15" i="12"/>
  <c r="AW8" i="12"/>
  <c r="AL96" i="12"/>
  <c r="AL93" i="12"/>
  <c r="AL94" i="12"/>
  <c r="AL95" i="12"/>
  <c r="AL92" i="12"/>
  <c r="AM92" i="12" s="1"/>
  <c r="AM93" i="12"/>
  <c r="AM94" i="12"/>
  <c r="AM95" i="12"/>
  <c r="AM96" i="12"/>
  <c r="AA93" i="12"/>
  <c r="AB93" i="12" s="1"/>
  <c r="AA94" i="12"/>
  <c r="AB94" i="12" s="1"/>
  <c r="AA95" i="12"/>
  <c r="AB95" i="12" s="1"/>
  <c r="AA96" i="12"/>
  <c r="AB96" i="12" s="1"/>
  <c r="AA92" i="12"/>
  <c r="AB92" i="12" s="1"/>
  <c r="AM85" i="12"/>
  <c r="AL87" i="12"/>
  <c r="AM87" i="12" s="1"/>
  <c r="AL88" i="12"/>
  <c r="AM88" i="12" s="1"/>
  <c r="AL89" i="12"/>
  <c r="AM89" i="12" s="1"/>
  <c r="AL86" i="12"/>
  <c r="AM86" i="12" s="1"/>
  <c r="AL84" i="12"/>
  <c r="AM84" i="12" s="1"/>
  <c r="AL83" i="12"/>
  <c r="AM83" i="12" s="1"/>
  <c r="AA84" i="12"/>
  <c r="AB84" i="12" s="1"/>
  <c r="AA85" i="12"/>
  <c r="AB85" i="12" s="1"/>
  <c r="AA86" i="12"/>
  <c r="AB86" i="12" s="1"/>
  <c r="AA87" i="12"/>
  <c r="AB87" i="12" s="1"/>
  <c r="AA88" i="12"/>
  <c r="AB88" i="12" s="1"/>
  <c r="AA89" i="12"/>
  <c r="AB89" i="12" s="1"/>
  <c r="AA83" i="12"/>
  <c r="AB83" i="12" s="1"/>
  <c r="AL74" i="12"/>
  <c r="AM74" i="12" s="1"/>
  <c r="AL75" i="12"/>
  <c r="AM75" i="12" s="1"/>
  <c r="AL76" i="12"/>
  <c r="AM76" i="12" s="1"/>
  <c r="AL77" i="12"/>
  <c r="AM77" i="12" s="1"/>
  <c r="AL78" i="12"/>
  <c r="AM78" i="12" s="1"/>
  <c r="AL79" i="12"/>
  <c r="AM79" i="12" s="1"/>
  <c r="AL80" i="12"/>
  <c r="AM80" i="12" s="1"/>
  <c r="AL73" i="12"/>
  <c r="AM73" i="12" s="1"/>
  <c r="AA74" i="12"/>
  <c r="AB74" i="12" s="1"/>
  <c r="AA75" i="12"/>
  <c r="AB75" i="12" s="1"/>
  <c r="AA76" i="12"/>
  <c r="AB76" i="12" s="1"/>
  <c r="AA77" i="12"/>
  <c r="AB77" i="12" s="1"/>
  <c r="AA78" i="12"/>
  <c r="AB78" i="12" s="1"/>
  <c r="AA79" i="12"/>
  <c r="AB79" i="12" s="1"/>
  <c r="AA80" i="12"/>
  <c r="AB80" i="12" s="1"/>
  <c r="AA73" i="12"/>
  <c r="AB73" i="12" s="1"/>
  <c r="AL67" i="12"/>
  <c r="AM67" i="12" s="1"/>
  <c r="AL68" i="12"/>
  <c r="AM68" i="12" s="1"/>
  <c r="AL69" i="12"/>
  <c r="AL70" i="12"/>
  <c r="AM70" i="12" s="1"/>
  <c r="AL66" i="12"/>
  <c r="AM66" i="12" s="1"/>
  <c r="AM69" i="12"/>
  <c r="AA67" i="12"/>
  <c r="AB67" i="12" s="1"/>
  <c r="AA68" i="12"/>
  <c r="AB68" i="12" s="1"/>
  <c r="AA69" i="12"/>
  <c r="AB69" i="12" s="1"/>
  <c r="AA70" i="12"/>
  <c r="AB70" i="12" s="1"/>
  <c r="AA66" i="12"/>
  <c r="AB66" i="12" s="1"/>
  <c r="AM61" i="12"/>
  <c r="AM62" i="12"/>
  <c r="AL63" i="12"/>
  <c r="AM63" i="12" s="1"/>
  <c r="AL59" i="12"/>
  <c r="AM59" i="12" s="1"/>
  <c r="AL60" i="12"/>
  <c r="AM60" i="12" s="1"/>
  <c r="AL58" i="12"/>
  <c r="AM58" i="12" s="1"/>
  <c r="AA59" i="12"/>
  <c r="AA60" i="12"/>
  <c r="AA61" i="12"/>
  <c r="AA62" i="12"/>
  <c r="AA63" i="12"/>
  <c r="AA58" i="12"/>
  <c r="AB59" i="12"/>
  <c r="AB60" i="12"/>
  <c r="AB61" i="12"/>
  <c r="AB62" i="12"/>
  <c r="AB63" i="12"/>
  <c r="AB58" i="12"/>
  <c r="AA42" i="12"/>
  <c r="AB42" i="12" s="1"/>
  <c r="AA43" i="12"/>
  <c r="AB43" i="12" s="1"/>
  <c r="AA44" i="12"/>
  <c r="AA45" i="12"/>
  <c r="AB45" i="12" s="1"/>
  <c r="AA46" i="12"/>
  <c r="AB46" i="12" s="1"/>
  <c r="AA47" i="12"/>
  <c r="AB47" i="12" s="1"/>
  <c r="AA48" i="12"/>
  <c r="AB48" i="12" s="1"/>
  <c r="AA49" i="12"/>
  <c r="AB49" i="12" s="1"/>
  <c r="AA50" i="12"/>
  <c r="AB50" i="12" s="1"/>
  <c r="AA51" i="12"/>
  <c r="AB51" i="12" s="1"/>
  <c r="AA52" i="12"/>
  <c r="AA53" i="12"/>
  <c r="AB53" i="12" s="1"/>
  <c r="AA41" i="12"/>
  <c r="AB41" i="12" s="1"/>
  <c r="AB44" i="12"/>
  <c r="AB52" i="12"/>
  <c r="AL44" i="12"/>
  <c r="AM44" i="12" s="1"/>
  <c r="AL45" i="12"/>
  <c r="AL46" i="12"/>
  <c r="AM46" i="12" s="1"/>
  <c r="AL47" i="12"/>
  <c r="AM47" i="12" s="1"/>
  <c r="AL48" i="12"/>
  <c r="AM48" i="12" s="1"/>
  <c r="AL49" i="12"/>
  <c r="AL50" i="12"/>
  <c r="AM50" i="12" s="1"/>
  <c r="AL51" i="12"/>
  <c r="AM51" i="12" s="1"/>
  <c r="AL52" i="12"/>
  <c r="AM52" i="12" s="1"/>
  <c r="AL53" i="12"/>
  <c r="AL43" i="12"/>
  <c r="AM42" i="12"/>
  <c r="AM43" i="12"/>
  <c r="AM45" i="12"/>
  <c r="AM49" i="12"/>
  <c r="AM53" i="12"/>
  <c r="AM41" i="12"/>
  <c r="AL38" i="12"/>
  <c r="AL37" i="12"/>
  <c r="AM37" i="12" s="1"/>
  <c r="AM38" i="12"/>
  <c r="AM36" i="12"/>
  <c r="AL28" i="12"/>
  <c r="AL29" i="12"/>
  <c r="AL30" i="12"/>
  <c r="AL31" i="12"/>
  <c r="AL32" i="12"/>
  <c r="AL33" i="12"/>
  <c r="AM28" i="12"/>
  <c r="AM29" i="12"/>
  <c r="AM30" i="12"/>
  <c r="AM31" i="12"/>
  <c r="AM32" i="12"/>
  <c r="AM33" i="12"/>
  <c r="AL27" i="12"/>
  <c r="AM27" i="12" s="1"/>
  <c r="AL24" i="12"/>
  <c r="AM24" i="12" s="1"/>
  <c r="AL19" i="12"/>
  <c r="AL20" i="12"/>
  <c r="AL21" i="12"/>
  <c r="AL22" i="12"/>
  <c r="AM19" i="12"/>
  <c r="AM20" i="12"/>
  <c r="AM21" i="12"/>
  <c r="AM22" i="12"/>
  <c r="AL18" i="12"/>
  <c r="AM18" i="12" s="1"/>
  <c r="AM16" i="12"/>
  <c r="AL9" i="12"/>
  <c r="AM9" i="12" s="1"/>
  <c r="AL10" i="12"/>
  <c r="AM10" i="12" s="1"/>
  <c r="AL11" i="12"/>
  <c r="AM11" i="12" s="1"/>
  <c r="AL12" i="12"/>
  <c r="AM12" i="12" s="1"/>
  <c r="AL13" i="12"/>
  <c r="AM13" i="12" s="1"/>
  <c r="AL14" i="12"/>
  <c r="AM14" i="12" s="1"/>
  <c r="AL15" i="12"/>
  <c r="AM15" i="12" s="1"/>
  <c r="AA18" i="12"/>
  <c r="AA37" i="12"/>
  <c r="AB37" i="12" s="1"/>
  <c r="AA38" i="12"/>
  <c r="AB38" i="12" s="1"/>
  <c r="AA36" i="12"/>
  <c r="AB36" i="12" s="1"/>
  <c r="AA28" i="12"/>
  <c r="AB28" i="12" s="1"/>
  <c r="AA29" i="12"/>
  <c r="AB29" i="12" s="1"/>
  <c r="AA30" i="12"/>
  <c r="AB30" i="12" s="1"/>
  <c r="AA31" i="12"/>
  <c r="AB31" i="12" s="1"/>
  <c r="AA32" i="12"/>
  <c r="AB32" i="12" s="1"/>
  <c r="AA33" i="12"/>
  <c r="AB33" i="12" s="1"/>
  <c r="AA27" i="12"/>
  <c r="AB27" i="12" s="1"/>
  <c r="AB19" i="12"/>
  <c r="AB20" i="12"/>
  <c r="AB21" i="12"/>
  <c r="AB18" i="12"/>
  <c r="AA24" i="12"/>
  <c r="AB24" i="12" s="1"/>
  <c r="AA22" i="12"/>
  <c r="AB22" i="12" s="1"/>
  <c r="AA15" i="12"/>
  <c r="AB15" i="12" s="1"/>
  <c r="AA13" i="12"/>
  <c r="AB13" i="12" s="1"/>
  <c r="AB9" i="12"/>
  <c r="AB12" i="12"/>
  <c r="AB14" i="12"/>
  <c r="AA11" i="12"/>
  <c r="AB11" i="12" s="1"/>
  <c r="AA10" i="12"/>
  <c r="AB10" i="12" s="1"/>
  <c r="AA8" i="12"/>
  <c r="AB8" i="12" s="1"/>
  <c r="A96" i="11"/>
  <c r="A97" i="11"/>
  <c r="A98" i="11"/>
  <c r="A99" i="11"/>
  <c r="A100" i="11"/>
  <c r="A101" i="11"/>
  <c r="A102" i="11"/>
  <c r="A103" i="11"/>
  <c r="A104" i="11"/>
  <c r="A10" i="11"/>
  <c r="A11" i="11"/>
  <c r="A12" i="11"/>
  <c r="A13" i="11"/>
  <c r="A14" i="11"/>
  <c r="A15" i="11"/>
  <c r="A16" i="11"/>
  <c r="A17" i="11"/>
  <c r="A18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" i="11"/>
  <c r="AL8" i="12"/>
  <c r="AJ8" i="12" s="1"/>
  <c r="O11" i="11" s="1"/>
  <c r="BQ104" i="12"/>
  <c r="BG103" i="12"/>
  <c r="BO100" i="12"/>
  <c r="L99" i="12"/>
  <c r="L102" i="11" s="1"/>
  <c r="K99" i="12"/>
  <c r="K102" i="11" s="1"/>
  <c r="J99" i="12"/>
  <c r="I102" i="11" s="1"/>
  <c r="I99" i="12"/>
  <c r="H102" i="11" s="1"/>
  <c r="H99" i="12"/>
  <c r="G99" i="12"/>
  <c r="G102" i="11" s="1"/>
  <c r="L98" i="12"/>
  <c r="L101" i="11" s="1"/>
  <c r="K98" i="12"/>
  <c r="K101" i="11" s="1"/>
  <c r="J98" i="12"/>
  <c r="I101" i="11" s="1"/>
  <c r="I98" i="12"/>
  <c r="H101" i="11" s="1"/>
  <c r="H98" i="12"/>
  <c r="G98" i="12"/>
  <c r="G101" i="11" s="1"/>
  <c r="CB96" i="12"/>
  <c r="S99" i="11" s="1"/>
  <c r="L96" i="12"/>
  <c r="L99" i="11" s="1"/>
  <c r="K96" i="12"/>
  <c r="K99" i="11" s="1"/>
  <c r="J96" i="12"/>
  <c r="I99" i="11" s="1"/>
  <c r="I96" i="12"/>
  <c r="H99" i="11" s="1"/>
  <c r="H96" i="12"/>
  <c r="CB95" i="12"/>
  <c r="I95" i="12"/>
  <c r="H98" i="11" s="1"/>
  <c r="CB94" i="12"/>
  <c r="S97" i="11" s="1"/>
  <c r="L94" i="12"/>
  <c r="L97" i="11" s="1"/>
  <c r="K94" i="12"/>
  <c r="K97" i="11" s="1"/>
  <c r="J94" i="12"/>
  <c r="I97" i="11" s="1"/>
  <c r="I94" i="12"/>
  <c r="H97" i="11" s="1"/>
  <c r="H94" i="12"/>
  <c r="CC93" i="12"/>
  <c r="CB93" i="12"/>
  <c r="S96" i="11" s="1"/>
  <c r="L93" i="12"/>
  <c r="L96" i="11" s="1"/>
  <c r="K93" i="12"/>
  <c r="K96" i="11" s="1"/>
  <c r="J93" i="12"/>
  <c r="I96" i="11" s="1"/>
  <c r="I93" i="12"/>
  <c r="H96" i="11" s="1"/>
  <c r="H93" i="12"/>
  <c r="CC92" i="12"/>
  <c r="CB92" i="12"/>
  <c r="S95" i="11" s="1"/>
  <c r="AJ92" i="12"/>
  <c r="O95" i="11" s="1"/>
  <c r="L92" i="12"/>
  <c r="L95" i="11" s="1"/>
  <c r="K92" i="12"/>
  <c r="K95" i="11" s="1"/>
  <c r="J92" i="12"/>
  <c r="I92" i="12"/>
  <c r="H95" i="11" s="1"/>
  <c r="H92" i="12"/>
  <c r="CJ91" i="12"/>
  <c r="CI91" i="12"/>
  <c r="CH91" i="12"/>
  <c r="CG91" i="12"/>
  <c r="CF91" i="12"/>
  <c r="CD91" i="12"/>
  <c r="BY91" i="12"/>
  <c r="BX91" i="12"/>
  <c r="BW91" i="12"/>
  <c r="BV91" i="12"/>
  <c r="BU91" i="12"/>
  <c r="BR91" i="12"/>
  <c r="BN91" i="12"/>
  <c r="BM91" i="12"/>
  <c r="BL91" i="12"/>
  <c r="BK91" i="12"/>
  <c r="BJ91" i="12"/>
  <c r="BG91" i="12"/>
  <c r="BC91" i="12"/>
  <c r="BB91" i="12"/>
  <c r="BA91" i="12"/>
  <c r="AZ91" i="12"/>
  <c r="AY91" i="12"/>
  <c r="AV91" i="12"/>
  <c r="AR91" i="12"/>
  <c r="AQ91" i="12"/>
  <c r="AP91" i="12"/>
  <c r="AO91" i="12"/>
  <c r="AN91" i="12"/>
  <c r="AK91" i="12"/>
  <c r="AG91" i="12"/>
  <c r="AF91" i="12"/>
  <c r="AE91" i="12"/>
  <c r="AD91" i="12"/>
  <c r="AC91" i="12"/>
  <c r="Z91" i="12"/>
  <c r="O91" i="12"/>
  <c r="L89" i="12"/>
  <c r="L92" i="11" s="1"/>
  <c r="K89" i="12"/>
  <c r="K92" i="11" s="1"/>
  <c r="J89" i="12"/>
  <c r="I92" i="11" s="1"/>
  <c r="I89" i="12"/>
  <c r="H92" i="11" s="1"/>
  <c r="H89" i="12"/>
  <c r="CQ88" i="12"/>
  <c r="BQ88" i="12"/>
  <c r="R91" i="11" s="1"/>
  <c r="BQ87" i="12"/>
  <c r="R90" i="11" s="1"/>
  <c r="L87" i="12"/>
  <c r="L90" i="11" s="1"/>
  <c r="K87" i="12"/>
  <c r="K90" i="11" s="1"/>
  <c r="J87" i="12"/>
  <c r="I90" i="11" s="1"/>
  <c r="I87" i="12"/>
  <c r="H90" i="11" s="1"/>
  <c r="H87" i="12"/>
  <c r="BS86" i="12"/>
  <c r="BT86" i="12" s="1"/>
  <c r="L86" i="12"/>
  <c r="L89" i="11" s="1"/>
  <c r="K86" i="12"/>
  <c r="K89" i="11" s="1"/>
  <c r="J86" i="12"/>
  <c r="I89" i="11" s="1"/>
  <c r="I86" i="12"/>
  <c r="H89" i="11" s="1"/>
  <c r="H86" i="12"/>
  <c r="BS85" i="12"/>
  <c r="BT85" i="12" s="1"/>
  <c r="AU85" i="12"/>
  <c r="P88" i="11" s="1"/>
  <c r="AK85" i="12"/>
  <c r="AK82" i="12" s="1"/>
  <c r="AJ85" i="12"/>
  <c r="O88" i="11" s="1"/>
  <c r="L85" i="12"/>
  <c r="L88" i="11" s="1"/>
  <c r="K85" i="12"/>
  <c r="K88" i="11" s="1"/>
  <c r="J85" i="12"/>
  <c r="I88" i="11" s="1"/>
  <c r="I85" i="12"/>
  <c r="H88" i="11" s="1"/>
  <c r="H85" i="12"/>
  <c r="BR84" i="12"/>
  <c r="BQ84" i="12"/>
  <c r="R87" i="11" s="1"/>
  <c r="L84" i="12"/>
  <c r="L87" i="11" s="1"/>
  <c r="K84" i="12"/>
  <c r="K87" i="11" s="1"/>
  <c r="J84" i="12"/>
  <c r="I87" i="11" s="1"/>
  <c r="I84" i="12"/>
  <c r="H87" i="11" s="1"/>
  <c r="H84" i="12"/>
  <c r="BR83" i="12"/>
  <c r="BQ83" i="12"/>
  <c r="R86" i="11" s="1"/>
  <c r="L83" i="12"/>
  <c r="L86" i="11" s="1"/>
  <c r="K83" i="12"/>
  <c r="K86" i="11" s="1"/>
  <c r="J83" i="12"/>
  <c r="I86" i="11" s="1"/>
  <c r="I83" i="12"/>
  <c r="H86" i="11" s="1"/>
  <c r="H83" i="12"/>
  <c r="CJ82" i="12"/>
  <c r="CI82" i="12"/>
  <c r="CH82" i="12"/>
  <c r="CG82" i="12"/>
  <c r="CF82" i="12"/>
  <c r="CC82" i="12"/>
  <c r="BY82" i="12"/>
  <c r="BX82" i="12"/>
  <c r="BW82" i="12"/>
  <c r="BV82" i="12"/>
  <c r="BU82" i="12"/>
  <c r="BN82" i="12"/>
  <c r="BM82" i="12"/>
  <c r="BL82" i="12"/>
  <c r="BK82" i="12"/>
  <c r="BJ82" i="12"/>
  <c r="BG82" i="12"/>
  <c r="BC82" i="12"/>
  <c r="BB82" i="12"/>
  <c r="BA82" i="12"/>
  <c r="AZ82" i="12"/>
  <c r="AY82" i="12"/>
  <c r="AV82" i="12"/>
  <c r="AR82" i="12"/>
  <c r="AQ82" i="12"/>
  <c r="AP82" i="12"/>
  <c r="AO82" i="12"/>
  <c r="AN82" i="12"/>
  <c r="AG82" i="12"/>
  <c r="AF82" i="12"/>
  <c r="AE82" i="12"/>
  <c r="AD82" i="12"/>
  <c r="AC82" i="12"/>
  <c r="Z82" i="12"/>
  <c r="O82" i="12"/>
  <c r="CB80" i="12"/>
  <c r="S83" i="11" s="1"/>
  <c r="L80" i="12"/>
  <c r="L83" i="11" s="1"/>
  <c r="K80" i="12"/>
  <c r="K83" i="11" s="1"/>
  <c r="J80" i="12"/>
  <c r="I83" i="11" s="1"/>
  <c r="I80" i="12"/>
  <c r="H83" i="11" s="1"/>
  <c r="H80" i="12"/>
  <c r="CB79" i="12"/>
  <c r="CQ78" i="12"/>
  <c r="CB78" i="12"/>
  <c r="S81" i="11" s="1"/>
  <c r="BQ78" i="12"/>
  <c r="R81" i="11" s="1"/>
  <c r="BF78" i="12"/>
  <c r="Q81" i="11" s="1"/>
  <c r="N78" i="12"/>
  <c r="M81" i="11" s="1"/>
  <c r="L78" i="12"/>
  <c r="L81" i="11" s="1"/>
  <c r="K78" i="12"/>
  <c r="K81" i="11" s="1"/>
  <c r="J78" i="12"/>
  <c r="I81" i="11" s="1"/>
  <c r="I78" i="12"/>
  <c r="H81" i="11" s="1"/>
  <c r="H78" i="12"/>
  <c r="CC77" i="12"/>
  <c r="CB77" i="12"/>
  <c r="S80" i="11" s="1"/>
  <c r="BS77" i="12"/>
  <c r="BT77" i="12" s="1"/>
  <c r="L77" i="12"/>
  <c r="L80" i="11" s="1"/>
  <c r="K77" i="12"/>
  <c r="K80" i="11" s="1"/>
  <c r="J77" i="12"/>
  <c r="I80" i="11" s="1"/>
  <c r="I77" i="12"/>
  <c r="H80" i="11" s="1"/>
  <c r="H77" i="12"/>
  <c r="BS76" i="12"/>
  <c r="BT76" i="12" s="1"/>
  <c r="L76" i="12"/>
  <c r="L79" i="11" s="1"/>
  <c r="K76" i="12"/>
  <c r="K79" i="11" s="1"/>
  <c r="J76" i="12"/>
  <c r="I79" i="11" s="1"/>
  <c r="I76" i="12"/>
  <c r="H79" i="11" s="1"/>
  <c r="H76" i="12"/>
  <c r="CC75" i="12"/>
  <c r="CC72" i="12" s="1"/>
  <c r="CB75" i="12"/>
  <c r="S78" i="11" s="1"/>
  <c r="BS75" i="12"/>
  <c r="BT75" i="12" s="1"/>
  <c r="L75" i="12"/>
  <c r="L78" i="11" s="1"/>
  <c r="K75" i="12"/>
  <c r="K78" i="11" s="1"/>
  <c r="J75" i="12"/>
  <c r="I78" i="11" s="1"/>
  <c r="I75" i="12"/>
  <c r="H78" i="11" s="1"/>
  <c r="H75" i="12"/>
  <c r="BS74" i="12"/>
  <c r="BQ74" i="12" s="1"/>
  <c r="R77" i="11" s="1"/>
  <c r="L74" i="12"/>
  <c r="L77" i="11" s="1"/>
  <c r="K74" i="12"/>
  <c r="K77" i="11" s="1"/>
  <c r="J74" i="12"/>
  <c r="I77" i="11" s="1"/>
  <c r="I74" i="12"/>
  <c r="H77" i="11" s="1"/>
  <c r="H74" i="12"/>
  <c r="BS73" i="12"/>
  <c r="BF73" i="12"/>
  <c r="Q76" i="11" s="1"/>
  <c r="L73" i="12"/>
  <c r="L76" i="11" s="1"/>
  <c r="K73" i="12"/>
  <c r="K76" i="11" s="1"/>
  <c r="J73" i="12"/>
  <c r="I76" i="11" s="1"/>
  <c r="I73" i="12"/>
  <c r="H76" i="11" s="1"/>
  <c r="H73" i="12"/>
  <c r="CJ72" i="12"/>
  <c r="CI72" i="12"/>
  <c r="CH72" i="12"/>
  <c r="CG72" i="12"/>
  <c r="CF72" i="12"/>
  <c r="BY72" i="12"/>
  <c r="BX72" i="12"/>
  <c r="BW72" i="12"/>
  <c r="BV72" i="12"/>
  <c r="BU72" i="12"/>
  <c r="BR72" i="12"/>
  <c r="BN72" i="12"/>
  <c r="BM72" i="12"/>
  <c r="BL72" i="12"/>
  <c r="BK72" i="12"/>
  <c r="BJ72" i="12"/>
  <c r="BG72" i="12"/>
  <c r="BC72" i="12"/>
  <c r="BB72" i="12"/>
  <c r="BA72" i="12"/>
  <c r="AZ72" i="12"/>
  <c r="AY72" i="12"/>
  <c r="AV72" i="12"/>
  <c r="AR72" i="12"/>
  <c r="AQ72" i="12"/>
  <c r="AP72" i="12"/>
  <c r="AO72" i="12"/>
  <c r="AN72" i="12"/>
  <c r="AK72" i="12"/>
  <c r="AG72" i="12"/>
  <c r="AF72" i="12"/>
  <c r="AE72" i="12"/>
  <c r="AD72" i="12"/>
  <c r="AC72" i="12"/>
  <c r="Z72" i="12"/>
  <c r="O72" i="12"/>
  <c r="L70" i="12"/>
  <c r="L73" i="11" s="1"/>
  <c r="K70" i="12"/>
  <c r="K73" i="11" s="1"/>
  <c r="J70" i="12"/>
  <c r="I73" i="11" s="1"/>
  <c r="I70" i="12"/>
  <c r="H73" i="11" s="1"/>
  <c r="H70" i="12"/>
  <c r="BQ68" i="12"/>
  <c r="R71" i="11" s="1"/>
  <c r="BF68" i="12"/>
  <c r="Q71" i="11" s="1"/>
  <c r="L68" i="12"/>
  <c r="L71" i="11" s="1"/>
  <c r="K68" i="12"/>
  <c r="K71" i="11" s="1"/>
  <c r="J68" i="12"/>
  <c r="I71" i="11" s="1"/>
  <c r="I68" i="12"/>
  <c r="H71" i="11" s="1"/>
  <c r="H68" i="12"/>
  <c r="BG67" i="12"/>
  <c r="BG65" i="12" s="1"/>
  <c r="BF67" i="12"/>
  <c r="Q70" i="11" s="1"/>
  <c r="L67" i="12"/>
  <c r="L70" i="11" s="1"/>
  <c r="K67" i="12"/>
  <c r="K70" i="11" s="1"/>
  <c r="J67" i="12"/>
  <c r="I70" i="11" s="1"/>
  <c r="I67" i="12"/>
  <c r="H70" i="11" s="1"/>
  <c r="H67" i="12"/>
  <c r="CQ66" i="12"/>
  <c r="L66" i="12"/>
  <c r="L69" i="11" s="1"/>
  <c r="K66" i="12"/>
  <c r="K69" i="11" s="1"/>
  <c r="J66" i="12"/>
  <c r="I69" i="11" s="1"/>
  <c r="I66" i="12"/>
  <c r="H69" i="11" s="1"/>
  <c r="H66" i="12"/>
  <c r="CJ65" i="12"/>
  <c r="CI65" i="12"/>
  <c r="CH65" i="12"/>
  <c r="CG65" i="12"/>
  <c r="CF65" i="12"/>
  <c r="CC65" i="12"/>
  <c r="BY65" i="12"/>
  <c r="BX65" i="12"/>
  <c r="BW65" i="12"/>
  <c r="BV65" i="12"/>
  <c r="BU65" i="12"/>
  <c r="BR65" i="12"/>
  <c r="BN65" i="12"/>
  <c r="BM65" i="12"/>
  <c r="BL65" i="12"/>
  <c r="BK65" i="12"/>
  <c r="BJ65" i="12"/>
  <c r="BC65" i="12"/>
  <c r="BB65" i="12"/>
  <c r="BA65" i="12"/>
  <c r="AZ65" i="12"/>
  <c r="AY65" i="12"/>
  <c r="AV65" i="12"/>
  <c r="AR65" i="12"/>
  <c r="AQ65" i="12"/>
  <c r="AP65" i="12"/>
  <c r="AO65" i="12"/>
  <c r="AN65" i="12"/>
  <c r="AK65" i="12"/>
  <c r="AG65" i="12"/>
  <c r="AF65" i="12"/>
  <c r="AE65" i="12"/>
  <c r="AD65" i="12"/>
  <c r="AC65" i="12"/>
  <c r="Z65" i="12"/>
  <c r="O65" i="12"/>
  <c r="L63" i="12"/>
  <c r="L66" i="11" s="1"/>
  <c r="K63" i="12"/>
  <c r="K66" i="11" s="1"/>
  <c r="J63" i="12"/>
  <c r="I66" i="11" s="1"/>
  <c r="I63" i="12"/>
  <c r="H66" i="11" s="1"/>
  <c r="H63" i="12"/>
  <c r="L62" i="12"/>
  <c r="L65" i="11" s="1"/>
  <c r="K62" i="12"/>
  <c r="K65" i="11" s="1"/>
  <c r="J62" i="12"/>
  <c r="I65" i="11" s="1"/>
  <c r="I62" i="12"/>
  <c r="H65" i="11" s="1"/>
  <c r="H62" i="12"/>
  <c r="D62" i="12"/>
  <c r="D65" i="11" s="1"/>
  <c r="AJ61" i="12"/>
  <c r="L61" i="12"/>
  <c r="L64" i="11" s="1"/>
  <c r="K61" i="12"/>
  <c r="K64" i="11" s="1"/>
  <c r="J61" i="12"/>
  <c r="I64" i="11" s="1"/>
  <c r="I61" i="12"/>
  <c r="H64" i="11" s="1"/>
  <c r="H61" i="12"/>
  <c r="AV60" i="12"/>
  <c r="AU60" i="12"/>
  <c r="P63" i="11" s="1"/>
  <c r="L60" i="12"/>
  <c r="L63" i="11" s="1"/>
  <c r="K60" i="12"/>
  <c r="K63" i="11" s="1"/>
  <c r="J60" i="12"/>
  <c r="I63" i="11" s="1"/>
  <c r="I60" i="12"/>
  <c r="H63" i="11" s="1"/>
  <c r="H60" i="12"/>
  <c r="AV59" i="12"/>
  <c r="AU59" i="12"/>
  <c r="P62" i="11" s="1"/>
  <c r="L59" i="12"/>
  <c r="L62" i="11" s="1"/>
  <c r="K59" i="12"/>
  <c r="K62" i="11" s="1"/>
  <c r="J59" i="12"/>
  <c r="I62" i="11" s="1"/>
  <c r="I59" i="12"/>
  <c r="H62" i="11" s="1"/>
  <c r="H59" i="12"/>
  <c r="L58" i="12"/>
  <c r="L61" i="11" s="1"/>
  <c r="K58" i="12"/>
  <c r="K61" i="11" s="1"/>
  <c r="J58" i="12"/>
  <c r="I61" i="11" s="1"/>
  <c r="I58" i="12"/>
  <c r="H61" i="11" s="1"/>
  <c r="H58" i="12"/>
  <c r="CJ57" i="12"/>
  <c r="CI57" i="12"/>
  <c r="CH57" i="12"/>
  <c r="CG57" i="12"/>
  <c r="CF57" i="12"/>
  <c r="CC57" i="12"/>
  <c r="BY57" i="12"/>
  <c r="BX57" i="12"/>
  <c r="BW57" i="12"/>
  <c r="BV57" i="12"/>
  <c r="BU57" i="12"/>
  <c r="BR57" i="12"/>
  <c r="BN57" i="12"/>
  <c r="BM57" i="12"/>
  <c r="BL57" i="12"/>
  <c r="BK57" i="12"/>
  <c r="BJ57" i="12"/>
  <c r="BG57" i="12"/>
  <c r="BC57" i="12"/>
  <c r="BB57" i="12"/>
  <c r="BA57" i="12"/>
  <c r="AZ57" i="12"/>
  <c r="AY57" i="12"/>
  <c r="AR57" i="12"/>
  <c r="AQ57" i="12"/>
  <c r="AP57" i="12"/>
  <c r="AO57" i="12"/>
  <c r="AN57" i="12"/>
  <c r="AK57" i="12"/>
  <c r="AG57" i="12"/>
  <c r="AF57" i="12"/>
  <c r="AE57" i="12"/>
  <c r="AD57" i="12"/>
  <c r="AC57" i="12"/>
  <c r="Z57" i="12"/>
  <c r="O57" i="12"/>
  <c r="BR53" i="12"/>
  <c r="BQ53" i="12"/>
  <c r="R56" i="11" s="1"/>
  <c r="L53" i="12"/>
  <c r="L56" i="11" s="1"/>
  <c r="K53" i="12"/>
  <c r="K56" i="11" s="1"/>
  <c r="J53" i="12"/>
  <c r="I56" i="11" s="1"/>
  <c r="I53" i="12"/>
  <c r="H56" i="11" s="1"/>
  <c r="H53" i="12"/>
  <c r="BR52" i="12"/>
  <c r="BQ52" i="12"/>
  <c r="R55" i="11" s="1"/>
  <c r="L52" i="12"/>
  <c r="L55" i="11" s="1"/>
  <c r="K52" i="12"/>
  <c r="K55" i="11" s="1"/>
  <c r="J52" i="12"/>
  <c r="I55" i="11" s="1"/>
  <c r="I52" i="12"/>
  <c r="H55" i="11" s="1"/>
  <c r="H52" i="12"/>
  <c r="L51" i="12"/>
  <c r="L54" i="11" s="1"/>
  <c r="K51" i="12"/>
  <c r="K54" i="11" s="1"/>
  <c r="J51" i="12"/>
  <c r="I54" i="11" s="1"/>
  <c r="I51" i="12"/>
  <c r="H54" i="11" s="1"/>
  <c r="H51" i="12"/>
  <c r="BS50" i="12"/>
  <c r="BT50" i="12" s="1"/>
  <c r="L50" i="12"/>
  <c r="L53" i="11" s="1"/>
  <c r="K50" i="12"/>
  <c r="K53" i="11" s="1"/>
  <c r="J50" i="12"/>
  <c r="I53" i="11" s="1"/>
  <c r="I50" i="12"/>
  <c r="H53" i="11" s="1"/>
  <c r="H50" i="12"/>
  <c r="L49" i="12"/>
  <c r="L52" i="11" s="1"/>
  <c r="K49" i="12"/>
  <c r="K52" i="11" s="1"/>
  <c r="J49" i="12"/>
  <c r="I52" i="11" s="1"/>
  <c r="I49" i="12"/>
  <c r="H52" i="11" s="1"/>
  <c r="H49" i="12"/>
  <c r="L48" i="12"/>
  <c r="L51" i="11" s="1"/>
  <c r="K48" i="12"/>
  <c r="K51" i="11" s="1"/>
  <c r="J48" i="12"/>
  <c r="I51" i="11" s="1"/>
  <c r="I48" i="12"/>
  <c r="H51" i="11" s="1"/>
  <c r="H48" i="12"/>
  <c r="L47" i="12"/>
  <c r="L50" i="11" s="1"/>
  <c r="K47" i="12"/>
  <c r="K50" i="11" s="1"/>
  <c r="J47" i="12"/>
  <c r="I50" i="11" s="1"/>
  <c r="I47" i="12"/>
  <c r="H50" i="11" s="1"/>
  <c r="H47" i="12"/>
  <c r="BR46" i="12"/>
  <c r="BQ46" i="12"/>
  <c r="R49" i="11" s="1"/>
  <c r="L46" i="12"/>
  <c r="L49" i="11" s="1"/>
  <c r="K46" i="12"/>
  <c r="K49" i="11" s="1"/>
  <c r="J46" i="12"/>
  <c r="I49" i="11" s="1"/>
  <c r="I46" i="12"/>
  <c r="H49" i="11" s="1"/>
  <c r="H46" i="12"/>
  <c r="CC45" i="12"/>
  <c r="CC40" i="12" s="1"/>
  <c r="L45" i="12"/>
  <c r="L48" i="11" s="1"/>
  <c r="K45" i="12"/>
  <c r="K48" i="11" s="1"/>
  <c r="J45" i="12"/>
  <c r="I48" i="11" s="1"/>
  <c r="I45" i="12"/>
  <c r="H48" i="11" s="1"/>
  <c r="H45" i="12"/>
  <c r="L44" i="12"/>
  <c r="L47" i="11" s="1"/>
  <c r="K44" i="12"/>
  <c r="K47" i="11" s="1"/>
  <c r="J44" i="12"/>
  <c r="I47" i="11" s="1"/>
  <c r="I44" i="12"/>
  <c r="H47" i="11" s="1"/>
  <c r="H44" i="12"/>
  <c r="AU43" i="12"/>
  <c r="P46" i="11" s="1"/>
  <c r="L43" i="12"/>
  <c r="L46" i="11" s="1"/>
  <c r="K43" i="12"/>
  <c r="K46" i="11" s="1"/>
  <c r="J43" i="12"/>
  <c r="I46" i="11" s="1"/>
  <c r="I43" i="12"/>
  <c r="H46" i="11" s="1"/>
  <c r="H43" i="12"/>
  <c r="AK42" i="12"/>
  <c r="AJ42" i="12"/>
  <c r="O45" i="11" s="1"/>
  <c r="L42" i="12"/>
  <c r="L45" i="11" s="1"/>
  <c r="K42" i="12"/>
  <c r="K45" i="11" s="1"/>
  <c r="J42" i="12"/>
  <c r="I45" i="11" s="1"/>
  <c r="I42" i="12"/>
  <c r="H45" i="11" s="1"/>
  <c r="H42" i="12"/>
  <c r="AK41" i="12"/>
  <c r="AJ41" i="12"/>
  <c r="O44" i="11" s="1"/>
  <c r="L41" i="12"/>
  <c r="L44" i="11" s="1"/>
  <c r="K41" i="12"/>
  <c r="K44" i="11" s="1"/>
  <c r="J41" i="12"/>
  <c r="I44" i="11" s="1"/>
  <c r="I41" i="12"/>
  <c r="H44" i="11" s="1"/>
  <c r="H41" i="12"/>
  <c r="CJ40" i="12"/>
  <c r="CI40" i="12"/>
  <c r="CH40" i="12"/>
  <c r="CG40" i="12"/>
  <c r="CF40" i="12"/>
  <c r="BY40" i="12"/>
  <c r="BX40" i="12"/>
  <c r="BW40" i="12"/>
  <c r="BV40" i="12"/>
  <c r="BU40" i="12"/>
  <c r="BN40" i="12"/>
  <c r="BM40" i="12"/>
  <c r="BL40" i="12"/>
  <c r="BK40" i="12"/>
  <c r="BJ40" i="12"/>
  <c r="BG40" i="12"/>
  <c r="BC40" i="12"/>
  <c r="BB40" i="12"/>
  <c r="BA40" i="12"/>
  <c r="AZ40" i="12"/>
  <c r="AY40" i="12"/>
  <c r="AV40" i="12"/>
  <c r="AR40" i="12"/>
  <c r="AQ40" i="12"/>
  <c r="AP40" i="12"/>
  <c r="AO40" i="12"/>
  <c r="AN40" i="12"/>
  <c r="AG40" i="12"/>
  <c r="AF40" i="12"/>
  <c r="AE40" i="12"/>
  <c r="AD40" i="12"/>
  <c r="AC40" i="12"/>
  <c r="Z40" i="12"/>
  <c r="O40" i="12"/>
  <c r="L38" i="12"/>
  <c r="L41" i="11" s="1"/>
  <c r="K38" i="12"/>
  <c r="K41" i="11" s="1"/>
  <c r="J38" i="12"/>
  <c r="I41" i="11" s="1"/>
  <c r="I38" i="12"/>
  <c r="H41" i="11" s="1"/>
  <c r="H38" i="12"/>
  <c r="L37" i="12"/>
  <c r="L40" i="11" s="1"/>
  <c r="K37" i="12"/>
  <c r="K40" i="11" s="1"/>
  <c r="J37" i="12"/>
  <c r="I40" i="11" s="1"/>
  <c r="I37" i="12"/>
  <c r="H40" i="11" s="1"/>
  <c r="H37" i="12"/>
  <c r="AK36" i="12"/>
  <c r="AK35" i="12" s="1"/>
  <c r="AJ36" i="12"/>
  <c r="O39" i="11" s="1"/>
  <c r="L36" i="12"/>
  <c r="L39" i="11" s="1"/>
  <c r="K36" i="12"/>
  <c r="K39" i="11" s="1"/>
  <c r="J36" i="12"/>
  <c r="I39" i="11" s="1"/>
  <c r="I36" i="12"/>
  <c r="H39" i="11" s="1"/>
  <c r="H36" i="12"/>
  <c r="CJ35" i="12"/>
  <c r="CI35" i="12"/>
  <c r="CH35" i="12"/>
  <c r="CG35" i="12"/>
  <c r="CF35" i="12"/>
  <c r="CC35" i="12"/>
  <c r="BY35" i="12"/>
  <c r="BX35" i="12"/>
  <c r="BW35" i="12"/>
  <c r="BV35" i="12"/>
  <c r="BU35" i="12"/>
  <c r="BR35" i="12"/>
  <c r="BN35" i="12"/>
  <c r="BM35" i="12"/>
  <c r="BL35" i="12"/>
  <c r="BK35" i="12"/>
  <c r="BJ35" i="12"/>
  <c r="BG35" i="12"/>
  <c r="BC35" i="12"/>
  <c r="BB35" i="12"/>
  <c r="BA35" i="12"/>
  <c r="AZ35" i="12"/>
  <c r="AY35" i="12"/>
  <c r="AV35" i="12"/>
  <c r="AR35" i="12"/>
  <c r="AQ35" i="12"/>
  <c r="AP35" i="12"/>
  <c r="AO35" i="12"/>
  <c r="AN35" i="12"/>
  <c r="AG35" i="12"/>
  <c r="AF35" i="12"/>
  <c r="AE35" i="12"/>
  <c r="AD35" i="12"/>
  <c r="AC35" i="12"/>
  <c r="Z35" i="12"/>
  <c r="O35" i="12"/>
  <c r="L33" i="12"/>
  <c r="L36" i="11" s="1"/>
  <c r="K33" i="12"/>
  <c r="K36" i="11" s="1"/>
  <c r="J33" i="12"/>
  <c r="I36" i="11" s="1"/>
  <c r="I33" i="12"/>
  <c r="H36" i="11" s="1"/>
  <c r="H33" i="12"/>
  <c r="L32" i="12"/>
  <c r="L35" i="11" s="1"/>
  <c r="K32" i="12"/>
  <c r="K35" i="11" s="1"/>
  <c r="J32" i="12"/>
  <c r="I35" i="11" s="1"/>
  <c r="I32" i="12"/>
  <c r="H35" i="11" s="1"/>
  <c r="H32" i="12"/>
  <c r="L31" i="12"/>
  <c r="L34" i="11" s="1"/>
  <c r="K31" i="12"/>
  <c r="K34" i="11" s="1"/>
  <c r="J31" i="12"/>
  <c r="I34" i="11" s="1"/>
  <c r="I31" i="12"/>
  <c r="H34" i="11" s="1"/>
  <c r="H31" i="12"/>
  <c r="CC30" i="12"/>
  <c r="L30" i="12"/>
  <c r="L33" i="11" s="1"/>
  <c r="K30" i="12"/>
  <c r="K33" i="11" s="1"/>
  <c r="J30" i="12"/>
  <c r="I33" i="11" s="1"/>
  <c r="H33" i="11"/>
  <c r="H30" i="12"/>
  <c r="CC29" i="12"/>
  <c r="L29" i="12"/>
  <c r="L32" i="11" s="1"/>
  <c r="K29" i="12"/>
  <c r="K32" i="11" s="1"/>
  <c r="J29" i="12"/>
  <c r="I32" i="11" s="1"/>
  <c r="I29" i="12"/>
  <c r="H32" i="11" s="1"/>
  <c r="H29" i="12"/>
  <c r="L28" i="12"/>
  <c r="L31" i="11" s="1"/>
  <c r="K28" i="12"/>
  <c r="K31" i="11" s="1"/>
  <c r="J28" i="12"/>
  <c r="I31" i="11" s="1"/>
  <c r="I28" i="12"/>
  <c r="H31" i="11" s="1"/>
  <c r="H28" i="12"/>
  <c r="CD27" i="12"/>
  <c r="CE27" i="12" s="1"/>
  <c r="BS26" i="12"/>
  <c r="AL26" i="12"/>
  <c r="L27" i="12"/>
  <c r="L30" i="11" s="1"/>
  <c r="K27" i="12"/>
  <c r="K30" i="11" s="1"/>
  <c r="J27" i="12"/>
  <c r="I30" i="11" s="1"/>
  <c r="I27" i="12"/>
  <c r="H30" i="11" s="1"/>
  <c r="CJ26" i="12"/>
  <c r="CI26" i="12"/>
  <c r="CH26" i="12"/>
  <c r="CG26" i="12"/>
  <c r="CF26" i="12"/>
  <c r="BY26" i="12"/>
  <c r="BX26" i="12"/>
  <c r="BW26" i="12"/>
  <c r="BV26" i="12"/>
  <c r="BU26" i="12"/>
  <c r="BR26" i="12"/>
  <c r="BN26" i="12"/>
  <c r="BM26" i="12"/>
  <c r="BL26" i="12"/>
  <c r="BK26" i="12"/>
  <c r="BJ26" i="12"/>
  <c r="BG26" i="12"/>
  <c r="BC26" i="12"/>
  <c r="BB26" i="12"/>
  <c r="BA26" i="12"/>
  <c r="AZ26" i="12"/>
  <c r="AY26" i="12"/>
  <c r="AV26" i="12"/>
  <c r="AR26" i="12"/>
  <c r="AQ26" i="12"/>
  <c r="AP26" i="12"/>
  <c r="AO26" i="12"/>
  <c r="AN26" i="12"/>
  <c r="AK26" i="12"/>
  <c r="AG26" i="12"/>
  <c r="AF26" i="12"/>
  <c r="AE26" i="12"/>
  <c r="AD26" i="12"/>
  <c r="AC26" i="12"/>
  <c r="Z26" i="12"/>
  <c r="O26" i="12"/>
  <c r="AL23" i="12"/>
  <c r="O24" i="12"/>
  <c r="O23" i="12" s="1"/>
  <c r="N24" i="12"/>
  <c r="L24" i="12"/>
  <c r="L27" i="11" s="1"/>
  <c r="K24" i="12"/>
  <c r="K27" i="11" s="1"/>
  <c r="J24" i="12"/>
  <c r="I27" i="11" s="1"/>
  <c r="I24" i="12"/>
  <c r="H27" i="11" s="1"/>
  <c r="H24" i="12"/>
  <c r="CJ23" i="12"/>
  <c r="CI23" i="12"/>
  <c r="CH23" i="12"/>
  <c r="CG23" i="12"/>
  <c r="CF23" i="12"/>
  <c r="CC23" i="12"/>
  <c r="BY23" i="12"/>
  <c r="BX23" i="12"/>
  <c r="BW23" i="12"/>
  <c r="BV23" i="12"/>
  <c r="BU23" i="12"/>
  <c r="BR23" i="12"/>
  <c r="BN23" i="12"/>
  <c r="BM23" i="12"/>
  <c r="BL23" i="12"/>
  <c r="BK23" i="12"/>
  <c r="BJ23" i="12"/>
  <c r="BG23" i="12"/>
  <c r="BC23" i="12"/>
  <c r="BB23" i="12"/>
  <c r="BA23" i="12"/>
  <c r="AZ23" i="12"/>
  <c r="AY23" i="12"/>
  <c r="AV23" i="12"/>
  <c r="AR23" i="12"/>
  <c r="AQ23" i="12"/>
  <c r="AP23" i="12"/>
  <c r="AO23" i="12"/>
  <c r="AN23" i="12"/>
  <c r="AK23" i="12"/>
  <c r="AG23" i="12"/>
  <c r="AF23" i="12"/>
  <c r="AE23" i="12"/>
  <c r="AD23" i="12"/>
  <c r="AC23" i="12"/>
  <c r="Z23" i="12"/>
  <c r="O22" i="12"/>
  <c r="O17" i="12" s="1"/>
  <c r="N22" i="12"/>
  <c r="M25" i="11" s="1"/>
  <c r="L22" i="12"/>
  <c r="L25" i="11" s="1"/>
  <c r="K22" i="12"/>
  <c r="K25" i="11" s="1"/>
  <c r="J22" i="12"/>
  <c r="I25" i="11" s="1"/>
  <c r="I22" i="12"/>
  <c r="H25" i="11" s="1"/>
  <c r="H22" i="12"/>
  <c r="Z21" i="12"/>
  <c r="Y21" i="12"/>
  <c r="N24" i="11" s="1"/>
  <c r="L21" i="12"/>
  <c r="L24" i="11" s="1"/>
  <c r="K21" i="12"/>
  <c r="K24" i="11" s="1"/>
  <c r="J21" i="12"/>
  <c r="I24" i="11" s="1"/>
  <c r="I21" i="12"/>
  <c r="H24" i="11" s="1"/>
  <c r="H21" i="12"/>
  <c r="Z20" i="12"/>
  <c r="Y20" i="12"/>
  <c r="N23" i="11" s="1"/>
  <c r="L20" i="12"/>
  <c r="L23" i="11" s="1"/>
  <c r="K20" i="12"/>
  <c r="K23" i="11" s="1"/>
  <c r="J20" i="12"/>
  <c r="I23" i="11" s="1"/>
  <c r="I20" i="12"/>
  <c r="H23" i="11" s="1"/>
  <c r="H20" i="12"/>
  <c r="Z19" i="12"/>
  <c r="Y19" i="12"/>
  <c r="N22" i="11" s="1"/>
  <c r="L19" i="12"/>
  <c r="L22" i="11" s="1"/>
  <c r="K19" i="12"/>
  <c r="K22" i="11" s="1"/>
  <c r="J19" i="12"/>
  <c r="I22" i="11" s="1"/>
  <c r="I19" i="12"/>
  <c r="H22" i="11" s="1"/>
  <c r="H19" i="12"/>
  <c r="L18" i="12"/>
  <c r="L21" i="11" s="1"/>
  <c r="K18" i="12"/>
  <c r="K21" i="11" s="1"/>
  <c r="J18" i="12"/>
  <c r="I21" i="11" s="1"/>
  <c r="I18" i="12"/>
  <c r="H21" i="11" s="1"/>
  <c r="H18" i="12"/>
  <c r="CJ17" i="12"/>
  <c r="CI17" i="12"/>
  <c r="CH17" i="12"/>
  <c r="CG17" i="12"/>
  <c r="CF17" i="12"/>
  <c r="CC17" i="12"/>
  <c r="BY17" i="12"/>
  <c r="BX17" i="12"/>
  <c r="BW17" i="12"/>
  <c r="BV17" i="12"/>
  <c r="BU17" i="12"/>
  <c r="BR17" i="12"/>
  <c r="BN17" i="12"/>
  <c r="BM17" i="12"/>
  <c r="BL17" i="12"/>
  <c r="BK17" i="12"/>
  <c r="BJ17" i="12"/>
  <c r="BG17" i="12"/>
  <c r="BC17" i="12"/>
  <c r="BB17" i="12"/>
  <c r="BA17" i="12"/>
  <c r="AZ17" i="12"/>
  <c r="AY17" i="12"/>
  <c r="AV17" i="12"/>
  <c r="AR17" i="12"/>
  <c r="AQ17" i="12"/>
  <c r="AP17" i="12"/>
  <c r="AO17" i="12"/>
  <c r="AN17" i="12"/>
  <c r="AK17" i="12"/>
  <c r="AG17" i="12"/>
  <c r="AF17" i="12"/>
  <c r="AE17" i="12"/>
  <c r="AD17" i="12"/>
  <c r="AC17" i="12"/>
  <c r="L15" i="12"/>
  <c r="L18" i="11" s="1"/>
  <c r="K15" i="12"/>
  <c r="K18" i="11" s="1"/>
  <c r="J15" i="12"/>
  <c r="I18" i="11" s="1"/>
  <c r="I15" i="12"/>
  <c r="H18" i="11" s="1"/>
  <c r="H15" i="12"/>
  <c r="Z14" i="12"/>
  <c r="Y14" i="12"/>
  <c r="N17" i="11" s="1"/>
  <c r="L14" i="12"/>
  <c r="L17" i="11" s="1"/>
  <c r="K14" i="12"/>
  <c r="K17" i="11" s="1"/>
  <c r="J14" i="12"/>
  <c r="I17" i="11" s="1"/>
  <c r="I14" i="12"/>
  <c r="H17" i="11" s="1"/>
  <c r="H14" i="12"/>
  <c r="L13" i="12"/>
  <c r="L16" i="11" s="1"/>
  <c r="K13" i="12"/>
  <c r="K16" i="11" s="1"/>
  <c r="J13" i="12"/>
  <c r="I16" i="11" s="1"/>
  <c r="I13" i="12"/>
  <c r="H16" i="11" s="1"/>
  <c r="H13" i="12"/>
  <c r="Z12" i="12"/>
  <c r="Y12" i="12"/>
  <c r="N15" i="11" s="1"/>
  <c r="L12" i="12"/>
  <c r="L15" i="11" s="1"/>
  <c r="K12" i="12"/>
  <c r="K15" i="11" s="1"/>
  <c r="J12" i="12"/>
  <c r="I15" i="11" s="1"/>
  <c r="I12" i="12"/>
  <c r="H15" i="11" s="1"/>
  <c r="H12" i="12"/>
  <c r="L11" i="12"/>
  <c r="L14" i="11" s="1"/>
  <c r="K11" i="12"/>
  <c r="K14" i="11" s="1"/>
  <c r="J11" i="12"/>
  <c r="I14" i="11" s="1"/>
  <c r="I11" i="12"/>
  <c r="H14" i="11" s="1"/>
  <c r="H11" i="12"/>
  <c r="L10" i="12"/>
  <c r="L13" i="11" s="1"/>
  <c r="K10" i="12"/>
  <c r="K13" i="11" s="1"/>
  <c r="J10" i="12"/>
  <c r="I13" i="11" s="1"/>
  <c r="I10" i="12"/>
  <c r="H13" i="11" s="1"/>
  <c r="H10" i="12"/>
  <c r="Z9" i="12"/>
  <c r="Y9" i="12"/>
  <c r="N12" i="11" s="1"/>
  <c r="L9" i="12"/>
  <c r="L12" i="11" s="1"/>
  <c r="K9" i="12"/>
  <c r="K12" i="11" s="1"/>
  <c r="J9" i="12"/>
  <c r="I12" i="11" s="1"/>
  <c r="I9" i="12"/>
  <c r="H12" i="11" s="1"/>
  <c r="H9" i="12"/>
  <c r="L8" i="12"/>
  <c r="L11" i="11" s="1"/>
  <c r="K8" i="12"/>
  <c r="K11" i="11" s="1"/>
  <c r="J8" i="12"/>
  <c r="I11" i="11" s="1"/>
  <c r="I8" i="12"/>
  <c r="H11" i="11" s="1"/>
  <c r="H8" i="12"/>
  <c r="CJ7" i="12"/>
  <c r="CI7" i="12"/>
  <c r="CH7" i="12"/>
  <c r="CG7" i="12"/>
  <c r="CF7" i="12"/>
  <c r="CC7" i="12"/>
  <c r="BY7" i="12"/>
  <c r="BX7" i="12"/>
  <c r="BW7" i="12"/>
  <c r="BV7" i="12"/>
  <c r="BU7" i="12"/>
  <c r="BR7" i="12"/>
  <c r="BN7" i="12"/>
  <c r="BM7" i="12"/>
  <c r="BL7" i="12"/>
  <c r="BK7" i="12"/>
  <c r="BJ7" i="12"/>
  <c r="BG7" i="12"/>
  <c r="BC7" i="12"/>
  <c r="BB7" i="12"/>
  <c r="BA7" i="12"/>
  <c r="AZ7" i="12"/>
  <c r="AY7" i="12"/>
  <c r="AV7" i="12"/>
  <c r="AR7" i="12"/>
  <c r="AQ7" i="12"/>
  <c r="AP7" i="12"/>
  <c r="AO7" i="12"/>
  <c r="AN7" i="12"/>
  <c r="AK7" i="12"/>
  <c r="AG7" i="12"/>
  <c r="AF7" i="12"/>
  <c r="AE7" i="12"/>
  <c r="AD7" i="12"/>
  <c r="AC7" i="12"/>
  <c r="T113" i="12" l="1"/>
  <c r="T114" i="12"/>
  <c r="T115" i="12"/>
  <c r="T121" i="12" s="1"/>
  <c r="T116" i="12"/>
  <c r="T117" i="12"/>
  <c r="F14" i="12"/>
  <c r="F17" i="11" s="1"/>
  <c r="AC6" i="12"/>
  <c r="F37" i="12"/>
  <c r="F40" i="11" s="1"/>
  <c r="AE6" i="12"/>
  <c r="AG6" i="12"/>
  <c r="AN6" i="12"/>
  <c r="AP6" i="12"/>
  <c r="AR6" i="12"/>
  <c r="BJ6" i="12"/>
  <c r="BL6" i="12"/>
  <c r="BN6" i="12"/>
  <c r="D61" i="12"/>
  <c r="D64" i="11" s="1"/>
  <c r="O64" i="11"/>
  <c r="BQ73" i="12"/>
  <c r="BS72" i="12"/>
  <c r="D95" i="12"/>
  <c r="D98" i="11" s="1"/>
  <c r="S98" i="11"/>
  <c r="F38" i="12"/>
  <c r="F41" i="11" s="1"/>
  <c r="F15" i="12"/>
  <c r="F18" i="11" s="1"/>
  <c r="F13" i="12"/>
  <c r="F16" i="11" s="1"/>
  <c r="F11" i="12"/>
  <c r="F14" i="11" s="1"/>
  <c r="F9" i="12"/>
  <c r="F12" i="11" s="1"/>
  <c r="F22" i="12"/>
  <c r="F25" i="11" s="1"/>
  <c r="F20" i="12"/>
  <c r="F23" i="11" s="1"/>
  <c r="F24" i="12"/>
  <c r="F27" i="11" s="1"/>
  <c r="BT74" i="12"/>
  <c r="N23" i="12"/>
  <c r="M26" i="11" s="1"/>
  <c r="M27" i="11"/>
  <c r="D79" i="12"/>
  <c r="D82" i="11" s="1"/>
  <c r="S82" i="11"/>
  <c r="F8" i="12"/>
  <c r="F11" i="11" s="1"/>
  <c r="F12" i="12"/>
  <c r="F15" i="11" s="1"/>
  <c r="F10" i="12"/>
  <c r="F13" i="11" s="1"/>
  <c r="BT73" i="12"/>
  <c r="BT31" i="12"/>
  <c r="BT30" i="12"/>
  <c r="AX15" i="12"/>
  <c r="AX13" i="12"/>
  <c r="AX11" i="12"/>
  <c r="AX9" i="12"/>
  <c r="AX22" i="12"/>
  <c r="AX20" i="12"/>
  <c r="AX24" i="12"/>
  <c r="F18" i="12"/>
  <c r="F21" i="11" s="1"/>
  <c r="F21" i="12"/>
  <c r="F24" i="11" s="1"/>
  <c r="F19" i="12"/>
  <c r="F22" i="11" s="1"/>
  <c r="F27" i="12"/>
  <c r="F30" i="11" s="1"/>
  <c r="F32" i="12"/>
  <c r="F35" i="11" s="1"/>
  <c r="F30" i="12"/>
  <c r="F33" i="11" s="1"/>
  <c r="F28" i="12"/>
  <c r="F31" i="11" s="1"/>
  <c r="F92" i="12"/>
  <c r="F95" i="11" s="1"/>
  <c r="F94" i="12"/>
  <c r="F97" i="11" s="1"/>
  <c r="F87" i="12"/>
  <c r="F90" i="11" s="1"/>
  <c r="F85" i="12"/>
  <c r="F88" i="11" s="1"/>
  <c r="F89" i="12"/>
  <c r="F92" i="11" s="1"/>
  <c r="F53" i="12"/>
  <c r="F56" i="11" s="1"/>
  <c r="F51" i="12"/>
  <c r="F54" i="11" s="1"/>
  <c r="F49" i="12"/>
  <c r="F52" i="11" s="1"/>
  <c r="F47" i="12"/>
  <c r="F50" i="11" s="1"/>
  <c r="F45" i="12"/>
  <c r="F48" i="11" s="1"/>
  <c r="F43" i="12"/>
  <c r="F46" i="11" s="1"/>
  <c r="F58" i="12"/>
  <c r="F61" i="11" s="1"/>
  <c r="F62" i="12"/>
  <c r="F65" i="11" s="1"/>
  <c r="F60" i="12"/>
  <c r="F63" i="11" s="1"/>
  <c r="F80" i="12"/>
  <c r="F83" i="11" s="1"/>
  <c r="F78" i="12"/>
  <c r="F81" i="11" s="1"/>
  <c r="F76" i="12"/>
  <c r="F79" i="11" s="1"/>
  <c r="F74" i="12"/>
  <c r="F77" i="11" s="1"/>
  <c r="F70" i="12"/>
  <c r="F73" i="11" s="1"/>
  <c r="F68" i="12"/>
  <c r="F71" i="11" s="1"/>
  <c r="AX8" i="12"/>
  <c r="AX14" i="12"/>
  <c r="AX12" i="12"/>
  <c r="AX10" i="12"/>
  <c r="AW26" i="12"/>
  <c r="F33" i="12"/>
  <c r="F36" i="11" s="1"/>
  <c r="F31" i="12"/>
  <c r="F34" i="11" s="1"/>
  <c r="F29" i="12"/>
  <c r="F32" i="11" s="1"/>
  <c r="F36" i="12"/>
  <c r="F39" i="11" s="1"/>
  <c r="F95" i="12"/>
  <c r="F98" i="11" s="1"/>
  <c r="F93" i="12"/>
  <c r="F96" i="11" s="1"/>
  <c r="F83" i="12"/>
  <c r="F86" i="11" s="1"/>
  <c r="F86" i="12"/>
  <c r="F89" i="11" s="1"/>
  <c r="F84" i="12"/>
  <c r="F87" i="11" s="1"/>
  <c r="F88" i="12"/>
  <c r="F91" i="11" s="1"/>
  <c r="F41" i="12"/>
  <c r="F44" i="11" s="1"/>
  <c r="F52" i="12"/>
  <c r="F55" i="11" s="1"/>
  <c r="F50" i="12"/>
  <c r="F53" i="11" s="1"/>
  <c r="F48" i="12"/>
  <c r="F51" i="11" s="1"/>
  <c r="F46" i="12"/>
  <c r="F49" i="11" s="1"/>
  <c r="F44" i="12"/>
  <c r="F47" i="11" s="1"/>
  <c r="F42" i="12"/>
  <c r="F45" i="11" s="1"/>
  <c r="F63" i="12"/>
  <c r="F66" i="11" s="1"/>
  <c r="F61" i="12"/>
  <c r="F64" i="11" s="1"/>
  <c r="J60" i="11" s="1"/>
  <c r="F59" i="12"/>
  <c r="F62" i="11" s="1"/>
  <c r="F73" i="12"/>
  <c r="F76" i="11" s="1"/>
  <c r="F79" i="12"/>
  <c r="F82" i="11" s="1"/>
  <c r="F77" i="12"/>
  <c r="F80" i="11" s="1"/>
  <c r="F75" i="12"/>
  <c r="F78" i="11" s="1"/>
  <c r="F66" i="12"/>
  <c r="F69" i="11" s="1"/>
  <c r="F69" i="12"/>
  <c r="F72" i="11" s="1"/>
  <c r="F67" i="12"/>
  <c r="F70" i="11" s="1"/>
  <c r="AM8" i="12"/>
  <c r="G62" i="12"/>
  <c r="G65" i="11" s="1"/>
  <c r="G61" i="12"/>
  <c r="G64" i="11" s="1"/>
  <c r="AD55" i="12"/>
  <c r="BA55" i="12"/>
  <c r="BW55" i="12"/>
  <c r="AZ6" i="12"/>
  <c r="BB6" i="12"/>
  <c r="BG6" i="12"/>
  <c r="BV6" i="12"/>
  <c r="BX6" i="12"/>
  <c r="CC6" i="12"/>
  <c r="CF6" i="12"/>
  <c r="CH6" i="12"/>
  <c r="CJ6" i="12"/>
  <c r="AK40" i="12"/>
  <c r="CB51" i="12"/>
  <c r="S54" i="11" s="1"/>
  <c r="Y52" i="12"/>
  <c r="N55" i="11" s="1"/>
  <c r="BF53" i="12"/>
  <c r="Q56" i="11" s="1"/>
  <c r="CD72" i="12"/>
  <c r="K26" i="12"/>
  <c r="K29" i="11" s="1"/>
  <c r="AG55" i="12"/>
  <c r="AP55" i="12"/>
  <c r="AP100" i="12" s="1"/>
  <c r="BH23" i="12"/>
  <c r="CD23" i="12"/>
  <c r="H65" i="12"/>
  <c r="K65" i="12"/>
  <c r="K68" i="11" s="1"/>
  <c r="AA65" i="12"/>
  <c r="I72" i="12"/>
  <c r="H75" i="11" s="1"/>
  <c r="J72" i="12"/>
  <c r="I75" i="11" s="1"/>
  <c r="L72" i="12"/>
  <c r="L75" i="11" s="1"/>
  <c r="H72" i="12"/>
  <c r="K72" i="12"/>
  <c r="K75" i="11" s="1"/>
  <c r="BQ76" i="12"/>
  <c r="R79" i="11" s="1"/>
  <c r="AD6" i="12"/>
  <c r="AD100" i="12" s="1"/>
  <c r="AF6" i="12"/>
  <c r="AK6" i="12"/>
  <c r="AO6" i="12"/>
  <c r="AQ6" i="12"/>
  <c r="AV6" i="12"/>
  <c r="AY6" i="12"/>
  <c r="BA6" i="12"/>
  <c r="BC6" i="12"/>
  <c r="BK6" i="12"/>
  <c r="BM6" i="12"/>
  <c r="BR6" i="12"/>
  <c r="BU6" i="12"/>
  <c r="BW6" i="12"/>
  <c r="BW100" i="12" s="1"/>
  <c r="BY6" i="12"/>
  <c r="CG6" i="12"/>
  <c r="CI6" i="12"/>
  <c r="BH26" i="12"/>
  <c r="BF31" i="12"/>
  <c r="Q34" i="11" s="1"/>
  <c r="J91" i="12"/>
  <c r="I94" i="11" s="1"/>
  <c r="Z7" i="12"/>
  <c r="CB11" i="12"/>
  <c r="S14" i="11" s="1"/>
  <c r="BQ13" i="12"/>
  <c r="R16" i="11" s="1"/>
  <c r="CD35" i="12"/>
  <c r="H40" i="12"/>
  <c r="AZ55" i="12"/>
  <c r="AZ100" i="12" s="1"/>
  <c r="BB55" i="12"/>
  <c r="BJ55" i="12"/>
  <c r="BJ100" i="12" s="1"/>
  <c r="BL55" i="12"/>
  <c r="BL100" i="12" s="1"/>
  <c r="BN55" i="12"/>
  <c r="BN100" i="12" s="1"/>
  <c r="BS65" i="12"/>
  <c r="I82" i="12"/>
  <c r="H85" i="11" s="1"/>
  <c r="J82" i="12"/>
  <c r="I85" i="11" s="1"/>
  <c r="L82" i="12"/>
  <c r="L85" i="11" s="1"/>
  <c r="K82" i="12"/>
  <c r="K85" i="11" s="1"/>
  <c r="BQ93" i="12"/>
  <c r="R96" i="11" s="1"/>
  <c r="N94" i="12"/>
  <c r="M97" i="11" s="1"/>
  <c r="BR40" i="12"/>
  <c r="AA23" i="12"/>
  <c r="AL35" i="12"/>
  <c r="Y36" i="12"/>
  <c r="N39" i="11" s="1"/>
  <c r="AU36" i="12"/>
  <c r="P39" i="11" s="1"/>
  <c r="AJ37" i="12"/>
  <c r="O40" i="11" s="1"/>
  <c r="AW35" i="12"/>
  <c r="O55" i="12"/>
  <c r="L57" i="12"/>
  <c r="L60" i="11" s="1"/>
  <c r="AF55" i="12"/>
  <c r="AK55" i="12"/>
  <c r="AO55" i="12"/>
  <c r="AQ55" i="12"/>
  <c r="AQ100" i="12" s="1"/>
  <c r="BG55" i="12"/>
  <c r="BG100" i="12" s="1"/>
  <c r="BG105" i="12" s="1"/>
  <c r="BV55" i="12"/>
  <c r="BV100" i="12" s="1"/>
  <c r="BX55" i="12"/>
  <c r="BX100" i="12" s="1"/>
  <c r="CF55" i="12"/>
  <c r="CF100" i="12" s="1"/>
  <c r="CH55" i="12"/>
  <c r="CH100" i="12" s="1"/>
  <c r="CJ55" i="12"/>
  <c r="N58" i="12"/>
  <c r="M61" i="11" s="1"/>
  <c r="AJ58" i="12"/>
  <c r="O61" i="11" s="1"/>
  <c r="BF58" i="12"/>
  <c r="Q61" i="11" s="1"/>
  <c r="CB58" i="12"/>
  <c r="S61" i="11" s="1"/>
  <c r="AN55" i="12"/>
  <c r="AN100" i="12" s="1"/>
  <c r="J65" i="12"/>
  <c r="I68" i="11" s="1"/>
  <c r="L65" i="12"/>
  <c r="L68" i="11" s="1"/>
  <c r="BU55" i="12"/>
  <c r="BU100" i="12" s="1"/>
  <c r="BY55" i="12"/>
  <c r="BY100" i="12" s="1"/>
  <c r="AW65" i="12"/>
  <c r="BQ66" i="12"/>
  <c r="Y67" i="12"/>
  <c r="N70" i="11" s="1"/>
  <c r="AU70" i="12"/>
  <c r="P73" i="11" s="1"/>
  <c r="CB70" i="12"/>
  <c r="S73" i="11" s="1"/>
  <c r="AU8" i="12"/>
  <c r="P11" i="11" s="1"/>
  <c r="AJ9" i="12"/>
  <c r="O12" i="11" s="1"/>
  <c r="AW7" i="12"/>
  <c r="AU18" i="12"/>
  <c r="P21" i="11" s="1"/>
  <c r="Z17" i="12"/>
  <c r="AJ19" i="12"/>
  <c r="O22" i="11" s="1"/>
  <c r="BQ20" i="12"/>
  <c r="R23" i="11" s="1"/>
  <c r="N21" i="12"/>
  <c r="M24" i="11" s="1"/>
  <c r="AW23" i="12"/>
  <c r="BS23" i="12"/>
  <c r="Y24" i="12"/>
  <c r="N27" i="11" s="1"/>
  <c r="CB28" i="12"/>
  <c r="S31" i="11" s="1"/>
  <c r="Y29" i="12"/>
  <c r="N32" i="11" s="1"/>
  <c r="H35" i="12"/>
  <c r="K35" i="12"/>
  <c r="K38" i="11" s="1"/>
  <c r="AL40" i="12"/>
  <c r="Y41" i="12"/>
  <c r="N44" i="11" s="1"/>
  <c r="N42" i="12"/>
  <c r="M45" i="11" s="1"/>
  <c r="AJ44" i="12"/>
  <c r="O47" i="11" s="1"/>
  <c r="Y46" i="12"/>
  <c r="N49" i="11" s="1"/>
  <c r="AJ47" i="12"/>
  <c r="O50" i="11" s="1"/>
  <c r="BQ48" i="12"/>
  <c r="R51" i="11" s="1"/>
  <c r="N49" i="12"/>
  <c r="M52" i="11" s="1"/>
  <c r="N60" i="12"/>
  <c r="M63" i="11" s="1"/>
  <c r="AJ60" i="12"/>
  <c r="O63" i="11" s="1"/>
  <c r="AV57" i="12"/>
  <c r="AV55" i="12" s="1"/>
  <c r="BF60" i="12"/>
  <c r="Q63" i="11" s="1"/>
  <c r="BQ63" i="12"/>
  <c r="R66" i="11" s="1"/>
  <c r="AL65" i="12"/>
  <c r="AY55" i="12"/>
  <c r="AY100" i="12" s="1"/>
  <c r="BC55" i="12"/>
  <c r="BC100" i="12" s="1"/>
  <c r="Y73" i="12"/>
  <c r="N76" i="11" s="1"/>
  <c r="N80" i="12"/>
  <c r="M83" i="11" s="1"/>
  <c r="AJ80" i="12"/>
  <c r="O83" i="11" s="1"/>
  <c r="BF80" i="12"/>
  <c r="Q83" i="11" s="1"/>
  <c r="N87" i="12"/>
  <c r="M90" i="11" s="1"/>
  <c r="Y89" i="12"/>
  <c r="N92" i="11" s="1"/>
  <c r="CJ100" i="12"/>
  <c r="H26" i="12"/>
  <c r="BS40" i="12"/>
  <c r="L6" i="12"/>
  <c r="L9" i="11" s="1"/>
  <c r="AU10" i="12"/>
  <c r="P13" i="11" s="1"/>
  <c r="AJ11" i="12"/>
  <c r="O14" i="11" s="1"/>
  <c r="CB12" i="12"/>
  <c r="S15" i="11" s="1"/>
  <c r="Y13" i="12"/>
  <c r="N16" i="11" s="1"/>
  <c r="BF14" i="12"/>
  <c r="Q17" i="11" s="1"/>
  <c r="AU15" i="12"/>
  <c r="P18" i="11" s="1"/>
  <c r="CB19" i="12"/>
  <c r="S22" i="11" s="1"/>
  <c r="BF21" i="12"/>
  <c r="Q24" i="11" s="1"/>
  <c r="AU22" i="12"/>
  <c r="P25" i="11" s="1"/>
  <c r="BQ24" i="12"/>
  <c r="AA26" i="12"/>
  <c r="CD26" i="12"/>
  <c r="AU27" i="12"/>
  <c r="P30" i="11" s="1"/>
  <c r="AJ28" i="12"/>
  <c r="O31" i="11" s="1"/>
  <c r="BQ29" i="12"/>
  <c r="R32" i="11" s="1"/>
  <c r="AU30" i="12"/>
  <c r="P33" i="11" s="1"/>
  <c r="N31" i="12"/>
  <c r="M34" i="11" s="1"/>
  <c r="BQ36" i="12"/>
  <c r="R39" i="11" s="1"/>
  <c r="N37" i="12"/>
  <c r="M40" i="11" s="1"/>
  <c r="BQ38" i="12"/>
  <c r="R41" i="11" s="1"/>
  <c r="K40" i="12"/>
  <c r="K43" i="11" s="1"/>
  <c r="N44" i="12"/>
  <c r="M47" i="11" s="1"/>
  <c r="AU45" i="12"/>
  <c r="P48" i="11" s="1"/>
  <c r="Y48" i="12"/>
  <c r="N51" i="11" s="1"/>
  <c r="AU50" i="12"/>
  <c r="P53" i="11" s="1"/>
  <c r="J26" i="12"/>
  <c r="I29" i="11" s="1"/>
  <c r="L26" i="12"/>
  <c r="L29" i="11" s="1"/>
  <c r="BQ43" i="12"/>
  <c r="R46" i="11" s="1"/>
  <c r="BF44" i="12"/>
  <c r="Q47" i="11" s="1"/>
  <c r="CB47" i="12"/>
  <c r="S50" i="11" s="1"/>
  <c r="BF49" i="12"/>
  <c r="Q52" i="11" s="1"/>
  <c r="AJ51" i="12"/>
  <c r="O54" i="11" s="1"/>
  <c r="N53" i="12"/>
  <c r="M56" i="11" s="1"/>
  <c r="AR55" i="12"/>
  <c r="AR100" i="12" s="1"/>
  <c r="Z55" i="12"/>
  <c r="I57" i="12"/>
  <c r="H60" i="11" s="1"/>
  <c r="J57" i="12"/>
  <c r="I60" i="11" s="1"/>
  <c r="Y59" i="12"/>
  <c r="N62" i="11" s="1"/>
  <c r="CB60" i="12"/>
  <c r="S63" i="11" s="1"/>
  <c r="Y63" i="12"/>
  <c r="N66" i="11" s="1"/>
  <c r="I65" i="12"/>
  <c r="H68" i="11" s="1"/>
  <c r="BH65" i="12"/>
  <c r="CD65" i="12"/>
  <c r="Y66" i="12"/>
  <c r="N69" i="11" s="1"/>
  <c r="AL72" i="12"/>
  <c r="AW72" i="12"/>
  <c r="AA72" i="12"/>
  <c r="AU74" i="12"/>
  <c r="P77" i="11" s="1"/>
  <c r="AJ75" i="12"/>
  <c r="O78" i="11" s="1"/>
  <c r="AL82" i="12"/>
  <c r="AJ83" i="12"/>
  <c r="O86" i="11" s="1"/>
  <c r="AU84" i="12"/>
  <c r="P87" i="11" s="1"/>
  <c r="BR82" i="12"/>
  <c r="BR55" i="12" s="1"/>
  <c r="AJ86" i="12"/>
  <c r="O89" i="11" s="1"/>
  <c r="BQ89" i="12"/>
  <c r="R92" i="11" s="1"/>
  <c r="H91" i="12"/>
  <c r="K91" i="12"/>
  <c r="K94" i="11" s="1"/>
  <c r="I91" i="12"/>
  <c r="H94" i="11" s="1"/>
  <c r="L91" i="12"/>
  <c r="L94" i="11" s="1"/>
  <c r="BH91" i="12"/>
  <c r="CB91" i="12"/>
  <c r="S94" i="11" s="1"/>
  <c r="Y93" i="12"/>
  <c r="N96" i="11" s="1"/>
  <c r="AL91" i="12"/>
  <c r="BF94" i="12"/>
  <c r="Q97" i="11" s="1"/>
  <c r="CE91" i="12"/>
  <c r="Y96" i="12"/>
  <c r="N99" i="11" s="1"/>
  <c r="BF96" i="12"/>
  <c r="Q99" i="11" s="1"/>
  <c r="AA7" i="12"/>
  <c r="AL7" i="12"/>
  <c r="BH7" i="12"/>
  <c r="BS7" i="12"/>
  <c r="CD7" i="12"/>
  <c r="Y8" i="12"/>
  <c r="N11" i="11" s="1"/>
  <c r="BQ8" i="12"/>
  <c r="R11" i="11" s="1"/>
  <c r="BF9" i="12"/>
  <c r="Q12" i="11" s="1"/>
  <c r="CB9" i="12"/>
  <c r="S12" i="11" s="1"/>
  <c r="Y10" i="12"/>
  <c r="N13" i="11" s="1"/>
  <c r="BQ10" i="12"/>
  <c r="R13" i="11" s="1"/>
  <c r="N11" i="12"/>
  <c r="M14" i="11" s="1"/>
  <c r="BF11" i="12"/>
  <c r="Q14" i="11" s="1"/>
  <c r="BF12" i="12"/>
  <c r="Q15" i="11" s="1"/>
  <c r="AU13" i="12"/>
  <c r="P16" i="11" s="1"/>
  <c r="AJ14" i="12"/>
  <c r="O17" i="11" s="1"/>
  <c r="CB14" i="12"/>
  <c r="S17" i="11" s="1"/>
  <c r="Y15" i="12"/>
  <c r="N18" i="11" s="1"/>
  <c r="BQ15" i="12"/>
  <c r="R18" i="11" s="1"/>
  <c r="AA17" i="12"/>
  <c r="AL17" i="12"/>
  <c r="AW17" i="12"/>
  <c r="BH17" i="12"/>
  <c r="BS17" i="12"/>
  <c r="CD17" i="12"/>
  <c r="Y18" i="12"/>
  <c r="N21" i="11" s="1"/>
  <c r="BQ18" i="12"/>
  <c r="R21" i="11" s="1"/>
  <c r="N19" i="12"/>
  <c r="M22" i="11" s="1"/>
  <c r="BF19" i="12"/>
  <c r="Q22" i="11" s="1"/>
  <c r="AU20" i="12"/>
  <c r="P23" i="11" s="1"/>
  <c r="AJ21" i="12"/>
  <c r="O24" i="11" s="1"/>
  <c r="CB21" i="12"/>
  <c r="S24" i="11" s="1"/>
  <c r="Y22" i="12"/>
  <c r="N25" i="11" s="1"/>
  <c r="BQ22" i="12"/>
  <c r="R25" i="11" s="1"/>
  <c r="AU24" i="12"/>
  <c r="I26" i="12"/>
  <c r="H29" i="11" s="1"/>
  <c r="Y27" i="12"/>
  <c r="N30" i="11" s="1"/>
  <c r="BQ27" i="12"/>
  <c r="R30" i="11" s="1"/>
  <c r="N28" i="12"/>
  <c r="M31" i="11" s="1"/>
  <c r="BF28" i="12"/>
  <c r="Q31" i="11" s="1"/>
  <c r="AU29" i="12"/>
  <c r="P32" i="11" s="1"/>
  <c r="Y30" i="12"/>
  <c r="N33" i="11" s="1"/>
  <c r="AJ31" i="12"/>
  <c r="O34" i="11" s="1"/>
  <c r="Y32" i="12"/>
  <c r="N35" i="11" s="1"/>
  <c r="AU32" i="12"/>
  <c r="P35" i="11" s="1"/>
  <c r="BQ32" i="12"/>
  <c r="R35" i="11" s="1"/>
  <c r="N33" i="12"/>
  <c r="M36" i="11" s="1"/>
  <c r="AJ33" i="12"/>
  <c r="O36" i="11" s="1"/>
  <c r="CB33" i="12"/>
  <c r="S36" i="11" s="1"/>
  <c r="I35" i="12"/>
  <c r="H38" i="11" s="1"/>
  <c r="J35" i="12"/>
  <c r="I38" i="11" s="1"/>
  <c r="L35" i="12"/>
  <c r="L38" i="11" s="1"/>
  <c r="AJ38" i="12"/>
  <c r="J40" i="12"/>
  <c r="I43" i="11" s="1"/>
  <c r="L40" i="12"/>
  <c r="L43" i="11" s="1"/>
  <c r="BQ42" i="12"/>
  <c r="R45" i="11" s="1"/>
  <c r="BF33" i="12"/>
  <c r="Q36" i="11" s="1"/>
  <c r="BH35" i="12"/>
  <c r="AA35" i="12"/>
  <c r="BQ37" i="12"/>
  <c r="R40" i="11" s="1"/>
  <c r="BS35" i="12"/>
  <c r="N38" i="12"/>
  <c r="M41" i="11" s="1"/>
  <c r="AU41" i="12"/>
  <c r="P44" i="11" s="1"/>
  <c r="AW40" i="12"/>
  <c r="BQ41" i="12"/>
  <c r="R44" i="11" s="1"/>
  <c r="AU42" i="12"/>
  <c r="P45" i="11" s="1"/>
  <c r="AA40" i="12"/>
  <c r="N43" i="12"/>
  <c r="M46" i="11" s="1"/>
  <c r="AJ43" i="12"/>
  <c r="O46" i="11" s="1"/>
  <c r="CB44" i="12"/>
  <c r="S47" i="11" s="1"/>
  <c r="Y45" i="12"/>
  <c r="N48" i="11" s="1"/>
  <c r="BQ45" i="12"/>
  <c r="R48" i="11" s="1"/>
  <c r="AU46" i="12"/>
  <c r="P49" i="11" s="1"/>
  <c r="N47" i="12"/>
  <c r="M50" i="11" s="1"/>
  <c r="BF47" i="12"/>
  <c r="Q50" i="11" s="1"/>
  <c r="AU48" i="12"/>
  <c r="P51" i="11" s="1"/>
  <c r="AJ49" i="12"/>
  <c r="O52" i="11" s="1"/>
  <c r="Y50" i="12"/>
  <c r="N53" i="11" s="1"/>
  <c r="BQ50" i="12"/>
  <c r="R53" i="11" s="1"/>
  <c r="N51" i="12"/>
  <c r="M54" i="11" s="1"/>
  <c r="BF51" i="12"/>
  <c r="Q54" i="11" s="1"/>
  <c r="AU52" i="12"/>
  <c r="P55" i="11" s="1"/>
  <c r="AJ53" i="12"/>
  <c r="O56" i="11" s="1"/>
  <c r="CB53" i="12"/>
  <c r="S56" i="11" s="1"/>
  <c r="AC55" i="12"/>
  <c r="AC100" i="12" s="1"/>
  <c r="AE55" i="12"/>
  <c r="BQ59" i="12"/>
  <c r="R62" i="11" s="1"/>
  <c r="AU66" i="12"/>
  <c r="P69" i="11" s="1"/>
  <c r="CB67" i="12"/>
  <c r="S70" i="11" s="1"/>
  <c r="Y70" i="12"/>
  <c r="N73" i="11" s="1"/>
  <c r="BH72" i="12"/>
  <c r="CB73" i="12"/>
  <c r="S76" i="11" s="1"/>
  <c r="BF75" i="12"/>
  <c r="Q78" i="11" s="1"/>
  <c r="AU63" i="12"/>
  <c r="P66" i="11" s="1"/>
  <c r="AU67" i="12"/>
  <c r="P70" i="11" s="1"/>
  <c r="AU73" i="12"/>
  <c r="P76" i="11" s="1"/>
  <c r="Y74" i="12"/>
  <c r="N77" i="11" s="1"/>
  <c r="N75" i="12"/>
  <c r="M78" i="11" s="1"/>
  <c r="BK55" i="12"/>
  <c r="BM55" i="12"/>
  <c r="CG55" i="12"/>
  <c r="CG100" i="12" s="1"/>
  <c r="CI55" i="12"/>
  <c r="CI100" i="12" s="1"/>
  <c r="BF77" i="12"/>
  <c r="AJ78" i="12"/>
  <c r="O81" i="11" s="1"/>
  <c r="H82" i="12"/>
  <c r="BS82" i="12"/>
  <c r="N83" i="12"/>
  <c r="M86" i="11" s="1"/>
  <c r="BF83" i="12"/>
  <c r="Q86" i="11" s="1"/>
  <c r="CB83" i="12"/>
  <c r="S86" i="11" s="1"/>
  <c r="Y84" i="12"/>
  <c r="N87" i="11" s="1"/>
  <c r="N85" i="12"/>
  <c r="M88" i="11" s="1"/>
  <c r="BQ85" i="12"/>
  <c r="R88" i="11" s="1"/>
  <c r="N86" i="12"/>
  <c r="M89" i="11" s="1"/>
  <c r="BF86" i="12"/>
  <c r="Q89" i="11" s="1"/>
  <c r="AJ87" i="12"/>
  <c r="O90" i="11" s="1"/>
  <c r="CB87" i="12"/>
  <c r="S90" i="11" s="1"/>
  <c r="AU89" i="12"/>
  <c r="P92" i="11" s="1"/>
  <c r="N92" i="12"/>
  <c r="M95" i="11" s="1"/>
  <c r="BF92" i="12"/>
  <c r="Q95" i="11" s="1"/>
  <c r="AU93" i="12"/>
  <c r="P96" i="11" s="1"/>
  <c r="CC91" i="12"/>
  <c r="CC55" i="12" s="1"/>
  <c r="AJ94" i="12"/>
  <c r="O97" i="11" s="1"/>
  <c r="AU96" i="12"/>
  <c r="P99" i="11" s="1"/>
  <c r="AK100" i="12"/>
  <c r="I6" i="12"/>
  <c r="H9" i="11" s="1"/>
  <c r="N8" i="12"/>
  <c r="M11" i="11" s="1"/>
  <c r="BF8" i="12"/>
  <c r="Q11" i="11" s="1"/>
  <c r="CB8" i="12"/>
  <c r="S11" i="11" s="1"/>
  <c r="AU9" i="12"/>
  <c r="P12" i="11" s="1"/>
  <c r="BQ9" i="12"/>
  <c r="R12" i="11" s="1"/>
  <c r="N10" i="12"/>
  <c r="M13" i="11" s="1"/>
  <c r="AJ10" i="12"/>
  <c r="O13" i="11" s="1"/>
  <c r="BF10" i="12"/>
  <c r="Q13" i="11" s="1"/>
  <c r="CB10" i="12"/>
  <c r="S13" i="11" s="1"/>
  <c r="Y11" i="12"/>
  <c r="N14" i="11" s="1"/>
  <c r="AU11" i="12"/>
  <c r="P14" i="11" s="1"/>
  <c r="BQ11" i="12"/>
  <c r="R14" i="11" s="1"/>
  <c r="N12" i="12"/>
  <c r="M15" i="11" s="1"/>
  <c r="AU12" i="12"/>
  <c r="P15" i="11" s="1"/>
  <c r="BQ12" i="12"/>
  <c r="R15" i="11" s="1"/>
  <c r="N13" i="12"/>
  <c r="M16" i="11" s="1"/>
  <c r="AJ13" i="12"/>
  <c r="O16" i="11" s="1"/>
  <c r="BF13" i="12"/>
  <c r="Q16" i="11" s="1"/>
  <c r="CB13" i="12"/>
  <c r="S16" i="11" s="1"/>
  <c r="AU14" i="12"/>
  <c r="P17" i="11" s="1"/>
  <c r="BQ14" i="12"/>
  <c r="N15" i="12"/>
  <c r="M18" i="11" s="1"/>
  <c r="AJ15" i="12"/>
  <c r="O18" i="11" s="1"/>
  <c r="BF15" i="12"/>
  <c r="Q18" i="11" s="1"/>
  <c r="CB15" i="12"/>
  <c r="S18" i="11" s="1"/>
  <c r="N18" i="12"/>
  <c r="M21" i="11" s="1"/>
  <c r="AJ18" i="12"/>
  <c r="O21" i="11" s="1"/>
  <c r="BF18" i="12"/>
  <c r="Q21" i="11" s="1"/>
  <c r="CB18" i="12"/>
  <c r="S21" i="11" s="1"/>
  <c r="AU19" i="12"/>
  <c r="P22" i="11" s="1"/>
  <c r="BQ19" i="12"/>
  <c r="R22" i="11" s="1"/>
  <c r="N20" i="12"/>
  <c r="M23" i="11" s="1"/>
  <c r="AJ20" i="12"/>
  <c r="O23" i="11" s="1"/>
  <c r="BF20" i="12"/>
  <c r="Q23" i="11" s="1"/>
  <c r="CB20" i="12"/>
  <c r="S23" i="11" s="1"/>
  <c r="AU21" i="12"/>
  <c r="P24" i="11" s="1"/>
  <c r="BQ21" i="12"/>
  <c r="R24" i="11" s="1"/>
  <c r="AJ22" i="12"/>
  <c r="O25" i="11" s="1"/>
  <c r="BF22" i="12"/>
  <c r="Q25" i="11" s="1"/>
  <c r="CB22" i="12"/>
  <c r="S25" i="11" s="1"/>
  <c r="Y23" i="12"/>
  <c r="N26" i="11" s="1"/>
  <c r="AJ24" i="12"/>
  <c r="BF24" i="12"/>
  <c r="CB24" i="12"/>
  <c r="N27" i="12"/>
  <c r="M30" i="11" s="1"/>
  <c r="AJ27" i="12"/>
  <c r="O30" i="11" s="1"/>
  <c r="BF27" i="12"/>
  <c r="Q30" i="11" s="1"/>
  <c r="CC27" i="12"/>
  <c r="CC26" i="12" s="1"/>
  <c r="Y28" i="12"/>
  <c r="N31" i="11" s="1"/>
  <c r="AU28" i="12"/>
  <c r="P31" i="11" s="1"/>
  <c r="BQ28" i="12"/>
  <c r="R31" i="11" s="1"/>
  <c r="N29" i="12"/>
  <c r="M32" i="11" s="1"/>
  <c r="AJ29" i="12"/>
  <c r="O32" i="11" s="1"/>
  <c r="BF29" i="12"/>
  <c r="Q32" i="11" s="1"/>
  <c r="N30" i="12"/>
  <c r="M33" i="11" s="1"/>
  <c r="AJ30" i="12"/>
  <c r="O33" i="11" s="1"/>
  <c r="BF30" i="12"/>
  <c r="Q33" i="11" s="1"/>
  <c r="Y31" i="12"/>
  <c r="N34" i="11" s="1"/>
  <c r="AU31" i="12"/>
  <c r="P34" i="11" s="1"/>
  <c r="N32" i="12"/>
  <c r="M35" i="11" s="1"/>
  <c r="AJ32" i="12"/>
  <c r="O35" i="11" s="1"/>
  <c r="BF32" i="12"/>
  <c r="Q35" i="11" s="1"/>
  <c r="CB32" i="12"/>
  <c r="S35" i="11" s="1"/>
  <c r="Y33" i="12"/>
  <c r="N36" i="11" s="1"/>
  <c r="AU33" i="12"/>
  <c r="P36" i="11" s="1"/>
  <c r="BQ33" i="12"/>
  <c r="R36" i="11" s="1"/>
  <c r="BF36" i="12"/>
  <c r="Q39" i="11" s="1"/>
  <c r="CB36" i="12"/>
  <c r="S39" i="11" s="1"/>
  <c r="Y37" i="12"/>
  <c r="N40" i="11" s="1"/>
  <c r="AU37" i="12"/>
  <c r="P40" i="11" s="1"/>
  <c r="BF37" i="12"/>
  <c r="Q40" i="11" s="1"/>
  <c r="CB37" i="12"/>
  <c r="S40" i="11" s="1"/>
  <c r="Y38" i="12"/>
  <c r="N41" i="11" s="1"/>
  <c r="AU38" i="12"/>
  <c r="P41" i="11" s="1"/>
  <c r="BF38" i="12"/>
  <c r="Q41" i="11" s="1"/>
  <c r="CB38" i="12"/>
  <c r="S41" i="11" s="1"/>
  <c r="I40" i="12"/>
  <c r="H43" i="11" s="1"/>
  <c r="BH40" i="12"/>
  <c r="CD40" i="12"/>
  <c r="N41" i="12"/>
  <c r="M44" i="11" s="1"/>
  <c r="BF42" i="12"/>
  <c r="Q45" i="11" s="1"/>
  <c r="CB42" i="12"/>
  <c r="S45" i="11" s="1"/>
  <c r="Y43" i="12"/>
  <c r="N46" i="11" s="1"/>
  <c r="BF43" i="12"/>
  <c r="Q46" i="11" s="1"/>
  <c r="CB43" i="12"/>
  <c r="S46" i="11" s="1"/>
  <c r="Y44" i="12"/>
  <c r="N47" i="11" s="1"/>
  <c r="AU44" i="12"/>
  <c r="P47" i="11" s="1"/>
  <c r="N36" i="12"/>
  <c r="M39" i="11" s="1"/>
  <c r="AM35" i="12"/>
  <c r="BF41" i="12"/>
  <c r="Q44" i="11" s="1"/>
  <c r="CB41" i="12"/>
  <c r="S44" i="11" s="1"/>
  <c r="Y42" i="12"/>
  <c r="N45" i="11" s="1"/>
  <c r="BQ44" i="12"/>
  <c r="R47" i="11" s="1"/>
  <c r="N45" i="12"/>
  <c r="M48" i="11" s="1"/>
  <c r="AJ45" i="12"/>
  <c r="O48" i="11" s="1"/>
  <c r="BF45" i="12"/>
  <c r="Q48" i="11" s="1"/>
  <c r="N46" i="12"/>
  <c r="M49" i="11" s="1"/>
  <c r="AJ46" i="12"/>
  <c r="O49" i="11" s="1"/>
  <c r="BF46" i="12"/>
  <c r="Q49" i="11" s="1"/>
  <c r="CB46" i="12"/>
  <c r="S49" i="11" s="1"/>
  <c r="Y47" i="12"/>
  <c r="N50" i="11" s="1"/>
  <c r="AU47" i="12"/>
  <c r="P50" i="11" s="1"/>
  <c r="BQ47" i="12"/>
  <c r="R50" i="11" s="1"/>
  <c r="N48" i="12"/>
  <c r="M51" i="11" s="1"/>
  <c r="AJ48" i="12"/>
  <c r="O51" i="11" s="1"/>
  <c r="BF48" i="12"/>
  <c r="Q51" i="11" s="1"/>
  <c r="CB48" i="12"/>
  <c r="S51" i="11" s="1"/>
  <c r="Y49" i="12"/>
  <c r="N52" i="11" s="1"/>
  <c r="AU49" i="12"/>
  <c r="P52" i="11" s="1"/>
  <c r="BQ49" i="12"/>
  <c r="R52" i="11" s="1"/>
  <c r="N50" i="12"/>
  <c r="M53" i="11" s="1"/>
  <c r="AJ50" i="12"/>
  <c r="O53" i="11" s="1"/>
  <c r="BF50" i="12"/>
  <c r="Q53" i="11" s="1"/>
  <c r="CB50" i="12"/>
  <c r="S53" i="11" s="1"/>
  <c r="Y51" i="12"/>
  <c r="N54" i="11" s="1"/>
  <c r="AU51" i="12"/>
  <c r="P54" i="11" s="1"/>
  <c r="BQ51" i="12"/>
  <c r="R54" i="11" s="1"/>
  <c r="N52" i="12"/>
  <c r="M55" i="11" s="1"/>
  <c r="AJ52" i="12"/>
  <c r="O55" i="11" s="1"/>
  <c r="BF52" i="12"/>
  <c r="Q55" i="11" s="1"/>
  <c r="CB52" i="12"/>
  <c r="S55" i="11" s="1"/>
  <c r="Y53" i="12"/>
  <c r="N56" i="11" s="1"/>
  <c r="AU53" i="12"/>
  <c r="P56" i="11" s="1"/>
  <c r="K57" i="12"/>
  <c r="K60" i="11" s="1"/>
  <c r="H57" i="12"/>
  <c r="N59" i="12"/>
  <c r="M62" i="11" s="1"/>
  <c r="AJ59" i="12"/>
  <c r="O62" i="11" s="1"/>
  <c r="AL57" i="12"/>
  <c r="BQ60" i="12"/>
  <c r="R63" i="11" s="1"/>
  <c r="G68" i="12"/>
  <c r="G71" i="11" s="1"/>
  <c r="Y58" i="12"/>
  <c r="N61" i="11" s="1"/>
  <c r="AA57" i="12"/>
  <c r="AU58" i="12"/>
  <c r="P61" i="11" s="1"/>
  <c r="AW57" i="12"/>
  <c r="BQ58" i="12"/>
  <c r="R61" i="11" s="1"/>
  <c r="BS57" i="12"/>
  <c r="BF59" i="12"/>
  <c r="Q62" i="11" s="1"/>
  <c r="BH57" i="12"/>
  <c r="CB59" i="12"/>
  <c r="S62" i="11" s="1"/>
  <c r="CD57" i="12"/>
  <c r="Y60" i="12"/>
  <c r="N63" i="11" s="1"/>
  <c r="N63" i="12"/>
  <c r="M66" i="11" s="1"/>
  <c r="AJ63" i="12"/>
  <c r="O66" i="11" s="1"/>
  <c r="BF63" i="12"/>
  <c r="Q66" i="11" s="1"/>
  <c r="CB63" i="12"/>
  <c r="S66" i="11" s="1"/>
  <c r="N66" i="12"/>
  <c r="M69" i="11" s="1"/>
  <c r="AJ66" i="12"/>
  <c r="O69" i="11" s="1"/>
  <c r="BF66" i="12"/>
  <c r="Q69" i="11" s="1"/>
  <c r="CB66" i="12"/>
  <c r="S69" i="11" s="1"/>
  <c r="N67" i="12"/>
  <c r="M70" i="11" s="1"/>
  <c r="AJ67" i="12"/>
  <c r="O70" i="11" s="1"/>
  <c r="N68" i="12"/>
  <c r="M71" i="11" s="1"/>
  <c r="Y68" i="12"/>
  <c r="N71" i="11" s="1"/>
  <c r="AJ68" i="12"/>
  <c r="O71" i="11" s="1"/>
  <c r="AU68" i="12"/>
  <c r="P71" i="11" s="1"/>
  <c r="CB68" i="12"/>
  <c r="S71" i="11" s="1"/>
  <c r="N70" i="12"/>
  <c r="M73" i="11" s="1"/>
  <c r="AJ70" i="12"/>
  <c r="O73" i="11" s="1"/>
  <c r="BF70" i="12"/>
  <c r="Q73" i="11" s="1"/>
  <c r="N73" i="12"/>
  <c r="M76" i="11" s="1"/>
  <c r="AJ73" i="12"/>
  <c r="O76" i="11" s="1"/>
  <c r="N74" i="12"/>
  <c r="M77" i="11" s="1"/>
  <c r="AJ74" i="12"/>
  <c r="O77" i="11" s="1"/>
  <c r="BF74" i="12"/>
  <c r="Q77" i="11" s="1"/>
  <c r="CB74" i="12"/>
  <c r="S77" i="11" s="1"/>
  <c r="Y75" i="12"/>
  <c r="N78" i="11" s="1"/>
  <c r="AU75" i="12"/>
  <c r="P78" i="11" s="1"/>
  <c r="BQ75" i="12"/>
  <c r="R78" i="11" s="1"/>
  <c r="BF76" i="12"/>
  <c r="Q79" i="11" s="1"/>
  <c r="CB76" i="12"/>
  <c r="S79" i="11" s="1"/>
  <c r="Y78" i="12"/>
  <c r="N81" i="11" s="1"/>
  <c r="AU78" i="12"/>
  <c r="P81" i="11" s="1"/>
  <c r="Y80" i="12"/>
  <c r="N83" i="11" s="1"/>
  <c r="AU80" i="12"/>
  <c r="P83" i="11" s="1"/>
  <c r="BQ80" i="12"/>
  <c r="R83" i="11" s="1"/>
  <c r="AA82" i="12"/>
  <c r="AW82" i="12"/>
  <c r="BH82" i="12"/>
  <c r="CD82" i="12"/>
  <c r="Y83" i="12"/>
  <c r="N86" i="11" s="1"/>
  <c r="AU83" i="12"/>
  <c r="P86" i="11" s="1"/>
  <c r="N84" i="12"/>
  <c r="M87" i="11" s="1"/>
  <c r="AJ84" i="12"/>
  <c r="O87" i="11" s="1"/>
  <c r="BF84" i="12"/>
  <c r="Q87" i="11" s="1"/>
  <c r="CB84" i="12"/>
  <c r="S87" i="11" s="1"/>
  <c r="Y85" i="12"/>
  <c r="N88" i="11" s="1"/>
  <c r="BF85" i="12"/>
  <c r="Q88" i="11" s="1"/>
  <c r="CB85" i="12"/>
  <c r="S88" i="11" s="1"/>
  <c r="Y86" i="12"/>
  <c r="N89" i="11" s="1"/>
  <c r="AU86" i="12"/>
  <c r="P89" i="11" s="1"/>
  <c r="BQ86" i="12"/>
  <c r="R89" i="11" s="1"/>
  <c r="CB86" i="12"/>
  <c r="S89" i="11" s="1"/>
  <c r="Y87" i="12"/>
  <c r="N90" i="11" s="1"/>
  <c r="AU87" i="12"/>
  <c r="P90" i="11" s="1"/>
  <c r="N89" i="12"/>
  <c r="M92" i="11" s="1"/>
  <c r="AJ89" i="12"/>
  <c r="O92" i="11" s="1"/>
  <c r="BF89" i="12"/>
  <c r="Q92" i="11" s="1"/>
  <c r="CB89" i="12"/>
  <c r="S92" i="11" s="1"/>
  <c r="AA91" i="12"/>
  <c r="AW91" i="12"/>
  <c r="BS91" i="12"/>
  <c r="Y92" i="12"/>
  <c r="N95" i="11" s="1"/>
  <c r="AU92" i="12"/>
  <c r="P95" i="11" s="1"/>
  <c r="BQ92" i="12"/>
  <c r="R95" i="11" s="1"/>
  <c r="N93" i="12"/>
  <c r="M96" i="11" s="1"/>
  <c r="AJ93" i="12"/>
  <c r="O96" i="11" s="1"/>
  <c r="BF93" i="12"/>
  <c r="Y94" i="12"/>
  <c r="N97" i="11" s="1"/>
  <c r="AU94" i="12"/>
  <c r="P97" i="11" s="1"/>
  <c r="BQ94" i="12"/>
  <c r="R97" i="11" s="1"/>
  <c r="N96" i="12"/>
  <c r="M99" i="11" s="1"/>
  <c r="AJ96" i="12"/>
  <c r="O99" i="11" s="1"/>
  <c r="BQ96" i="12"/>
  <c r="R99" i="11" s="1"/>
  <c r="CR105" i="12"/>
  <c r="T118" i="12" l="1"/>
  <c r="T122" i="12"/>
  <c r="BF23" i="12"/>
  <c r="Q26" i="11" s="1"/>
  <c r="Q27" i="11"/>
  <c r="AJ35" i="12"/>
  <c r="O38" i="11" s="1"/>
  <c r="O41" i="11"/>
  <c r="AU23" i="12"/>
  <c r="P26" i="11" s="1"/>
  <c r="P27" i="11"/>
  <c r="BQ23" i="12"/>
  <c r="R26" i="11" s="1"/>
  <c r="R27" i="11"/>
  <c r="BF91" i="12"/>
  <c r="Q94" i="11" s="1"/>
  <c r="Q96" i="11"/>
  <c r="CB23" i="12"/>
  <c r="S26" i="11" s="1"/>
  <c r="S27" i="11"/>
  <c r="AJ23" i="12"/>
  <c r="O26" i="11" s="1"/>
  <c r="O27" i="11"/>
  <c r="D77" i="12"/>
  <c r="D80" i="11" s="1"/>
  <c r="Q80" i="11"/>
  <c r="BQ65" i="12"/>
  <c r="R68" i="11" s="1"/>
  <c r="R69" i="11"/>
  <c r="BX102" i="12"/>
  <c r="R76" i="11"/>
  <c r="BQ72" i="12"/>
  <c r="R75" i="11" s="1"/>
  <c r="J55" i="12"/>
  <c r="I58" i="11" s="1"/>
  <c r="F65" i="12"/>
  <c r="F68" i="11" s="1"/>
  <c r="F72" i="12"/>
  <c r="F75" i="11" s="1"/>
  <c r="F91" i="12"/>
  <c r="F94" i="11" s="1"/>
  <c r="F40" i="12"/>
  <c r="F43" i="11" s="1"/>
  <c r="F57" i="12"/>
  <c r="F60" i="11" s="1"/>
  <c r="F35" i="12"/>
  <c r="F38" i="11" s="1"/>
  <c r="D96" i="12"/>
  <c r="D99" i="11" s="1"/>
  <c r="Y65" i="12"/>
  <c r="N68" i="11" s="1"/>
  <c r="AU57" i="12"/>
  <c r="P60" i="11" s="1"/>
  <c r="F82" i="12"/>
  <c r="F85" i="11" s="1"/>
  <c r="F26" i="12"/>
  <c r="F29" i="11" s="1"/>
  <c r="BQ82" i="12"/>
  <c r="R85" i="11" s="1"/>
  <c r="BQ35" i="12"/>
  <c r="R38" i="11" s="1"/>
  <c r="BB100" i="12"/>
  <c r="BB102" i="12" s="1"/>
  <c r="BA100" i="12"/>
  <c r="L55" i="12"/>
  <c r="L58" i="11" s="1"/>
  <c r="H6" i="12"/>
  <c r="AU65" i="12"/>
  <c r="P68" i="11" s="1"/>
  <c r="AL55" i="12"/>
  <c r="CB26" i="12"/>
  <c r="S29" i="11" s="1"/>
  <c r="BK100" i="12"/>
  <c r="AW6" i="12"/>
  <c r="BR100" i="12"/>
  <c r="AV100" i="12"/>
  <c r="CE72" i="12"/>
  <c r="CI102" i="12"/>
  <c r="J6" i="12"/>
  <c r="I9" i="11" s="1"/>
  <c r="Z6" i="12"/>
  <c r="Z100" i="12" s="1"/>
  <c r="AO100" i="12"/>
  <c r="AF100" i="12"/>
  <c r="K6" i="12"/>
  <c r="K9" i="11" s="1"/>
  <c r="D42" i="12"/>
  <c r="D45" i="11" s="1"/>
  <c r="G42" i="12"/>
  <c r="G45" i="11" s="1"/>
  <c r="H103" i="11"/>
  <c r="L100" i="12"/>
  <c r="L103" i="11" s="1"/>
  <c r="CB65" i="12"/>
  <c r="S68" i="11" s="1"/>
  <c r="G60" i="12"/>
  <c r="G63" i="11" s="1"/>
  <c r="BI57" i="12"/>
  <c r="AX40" i="12"/>
  <c r="Y35" i="12"/>
  <c r="N38" i="11" s="1"/>
  <c r="BQ26" i="12"/>
  <c r="R29" i="11" s="1"/>
  <c r="BQ7" i="12"/>
  <c r="R10" i="11" s="1"/>
  <c r="CC100" i="12"/>
  <c r="K55" i="12"/>
  <c r="K58" i="11" s="1"/>
  <c r="H100" i="12"/>
  <c r="BI82" i="12"/>
  <c r="G80" i="12"/>
  <c r="G83" i="11" s="1"/>
  <c r="D78" i="12"/>
  <c r="D81" i="11" s="1"/>
  <c r="J75" i="11" s="1"/>
  <c r="AU72" i="12"/>
  <c r="P75" i="11" s="1"/>
  <c r="CB72" i="12"/>
  <c r="S75" i="11" s="1"/>
  <c r="BF72" i="12"/>
  <c r="Q75" i="11" s="1"/>
  <c r="D60" i="12"/>
  <c r="D63" i="11" s="1"/>
  <c r="CE57" i="12"/>
  <c r="BQ57" i="12"/>
  <c r="AJ57" i="12"/>
  <c r="O60" i="11" s="1"/>
  <c r="BT40" i="12"/>
  <c r="D43" i="12"/>
  <c r="D46" i="11" s="1"/>
  <c r="AB35" i="12"/>
  <c r="BQ17" i="12"/>
  <c r="R20" i="11" s="1"/>
  <c r="H55" i="12"/>
  <c r="Y17" i="12"/>
  <c r="N20" i="11" s="1"/>
  <c r="CD6" i="12"/>
  <c r="BH6" i="12"/>
  <c r="AA6" i="12"/>
  <c r="BM100" i="12"/>
  <c r="AJ91" i="12"/>
  <c r="O94" i="11" s="1"/>
  <c r="AU40" i="12"/>
  <c r="P43" i="11" s="1"/>
  <c r="AJ40" i="12"/>
  <c r="O43" i="11" s="1"/>
  <c r="BQ40" i="12"/>
  <c r="R43" i="11" s="1"/>
  <c r="D38" i="12"/>
  <c r="D41" i="11" s="1"/>
  <c r="AU35" i="12"/>
  <c r="P38" i="11" s="1"/>
  <c r="AU26" i="12"/>
  <c r="P29" i="11" s="1"/>
  <c r="BF26" i="12"/>
  <c r="Q29" i="11" s="1"/>
  <c r="AJ26" i="12"/>
  <c r="O29" i="11" s="1"/>
  <c r="D22" i="12"/>
  <c r="D25" i="11" s="1"/>
  <c r="I55" i="12"/>
  <c r="H58" i="11" s="1"/>
  <c r="G38" i="12"/>
  <c r="G41" i="11" s="1"/>
  <c r="BS6" i="12"/>
  <c r="AL6" i="12"/>
  <c r="AE100" i="12"/>
  <c r="J100" i="12" s="1"/>
  <c r="I103" i="11" s="1"/>
  <c r="BQ91" i="12"/>
  <c r="R94" i="11" s="1"/>
  <c r="D92" i="12"/>
  <c r="D95" i="11" s="1"/>
  <c r="Y91" i="12"/>
  <c r="N94" i="11" s="1"/>
  <c r="D89" i="12"/>
  <c r="D92" i="11" s="1"/>
  <c r="D87" i="12"/>
  <c r="D90" i="11" s="1"/>
  <c r="J85" i="11" s="1"/>
  <c r="D86" i="12"/>
  <c r="D89" i="11" s="1"/>
  <c r="CB82" i="12"/>
  <c r="S85" i="11" s="1"/>
  <c r="G84" i="12"/>
  <c r="G87" i="11" s="1"/>
  <c r="AX82" i="12"/>
  <c r="AB82" i="12"/>
  <c r="G76" i="12"/>
  <c r="G79" i="11" s="1"/>
  <c r="D74" i="12"/>
  <c r="D77" i="11" s="1"/>
  <c r="AJ72" i="12"/>
  <c r="O75" i="11" s="1"/>
  <c r="D73" i="12"/>
  <c r="D76" i="11" s="1"/>
  <c r="N72" i="12"/>
  <c r="M75" i="11" s="1"/>
  <c r="D70" i="12"/>
  <c r="D73" i="11" s="1"/>
  <c r="D67" i="12"/>
  <c r="D70" i="11" s="1"/>
  <c r="BF65" i="12"/>
  <c r="Q68" i="11" s="1"/>
  <c r="AJ65" i="12"/>
  <c r="O68" i="11" s="1"/>
  <c r="D66" i="12"/>
  <c r="D69" i="11" s="1"/>
  <c r="N65" i="12"/>
  <c r="M68" i="11" s="1"/>
  <c r="D63" i="12"/>
  <c r="D66" i="11" s="1"/>
  <c r="G77" i="12"/>
  <c r="G80" i="11" s="1"/>
  <c r="G75" i="12"/>
  <c r="G78" i="11" s="1"/>
  <c r="AB72" i="12"/>
  <c r="AX65" i="12"/>
  <c r="CD55" i="12"/>
  <c r="BF57" i="12"/>
  <c r="Q60" i="11" s="1"/>
  <c r="AW55" i="12"/>
  <c r="AW100" i="12" s="1"/>
  <c r="AX57" i="12"/>
  <c r="G78" i="12"/>
  <c r="G81" i="11" s="1"/>
  <c r="AX72" i="12"/>
  <c r="BT65" i="12"/>
  <c r="D53" i="12"/>
  <c r="D56" i="11" s="1"/>
  <c r="G52" i="12"/>
  <c r="G55" i="11" s="1"/>
  <c r="D50" i="12"/>
  <c r="D53" i="11" s="1"/>
  <c r="D49" i="12"/>
  <c r="D52" i="11" s="1"/>
  <c r="G48" i="12"/>
  <c r="G51" i="11" s="1"/>
  <c r="D46" i="12"/>
  <c r="D49" i="11" s="1"/>
  <c r="D45" i="12"/>
  <c r="D48" i="11" s="1"/>
  <c r="CE40" i="12"/>
  <c r="BI40" i="12"/>
  <c r="D44" i="12"/>
  <c r="D47" i="11" s="1"/>
  <c r="AM40" i="12"/>
  <c r="D41" i="12"/>
  <c r="D44" i="11" s="1"/>
  <c r="N40" i="12"/>
  <c r="M43" i="11" s="1"/>
  <c r="D37" i="12"/>
  <c r="D40" i="11" s="1"/>
  <c r="CB35" i="12"/>
  <c r="S38" i="11" s="1"/>
  <c r="BF35" i="12"/>
  <c r="Q38" i="11" s="1"/>
  <c r="D33" i="12"/>
  <c r="D36" i="11" s="1"/>
  <c r="D32" i="12"/>
  <c r="D35" i="11" s="1"/>
  <c r="D30" i="12"/>
  <c r="D33" i="11" s="1"/>
  <c r="D29" i="12"/>
  <c r="D32" i="11" s="1"/>
  <c r="D28" i="12"/>
  <c r="D31" i="11" s="1"/>
  <c r="CE26" i="12"/>
  <c r="BI26" i="12"/>
  <c r="AM26" i="12"/>
  <c r="CE23" i="12"/>
  <c r="BI23" i="12"/>
  <c r="AM23" i="12"/>
  <c r="D21" i="12"/>
  <c r="D24" i="11" s="1"/>
  <c r="G20" i="12"/>
  <c r="G23" i="11" s="1"/>
  <c r="CB17" i="12"/>
  <c r="S20" i="11" s="1"/>
  <c r="BF17" i="12"/>
  <c r="Q20" i="11" s="1"/>
  <c r="AJ17" i="12"/>
  <c r="O20" i="11" s="1"/>
  <c r="D18" i="12"/>
  <c r="D21" i="11" s="1"/>
  <c r="N17" i="12"/>
  <c r="M20" i="11" s="1"/>
  <c r="D15" i="12"/>
  <c r="D18" i="11" s="1"/>
  <c r="D13" i="12"/>
  <c r="D16" i="11" s="1"/>
  <c r="D12" i="12"/>
  <c r="D15" i="11" s="1"/>
  <c r="D11" i="12"/>
  <c r="D14" i="11" s="1"/>
  <c r="G10" i="12"/>
  <c r="G13" i="11" s="1"/>
  <c r="CB7" i="12"/>
  <c r="S10" i="11" s="1"/>
  <c r="BF7" i="12"/>
  <c r="Q10" i="11" s="1"/>
  <c r="AJ7" i="12"/>
  <c r="O10" i="11" s="1"/>
  <c r="D8" i="12"/>
  <c r="D11" i="11" s="1"/>
  <c r="G43" i="12"/>
  <c r="G46" i="11" s="1"/>
  <c r="AX35" i="12"/>
  <c r="G33" i="12"/>
  <c r="G36" i="11" s="1"/>
  <c r="AX26" i="12"/>
  <c r="G21" i="12"/>
  <c r="G24" i="11" s="1"/>
  <c r="AX7" i="12"/>
  <c r="G44" i="12"/>
  <c r="G47" i="11" s="1"/>
  <c r="AB40" i="12"/>
  <c r="D24" i="12"/>
  <c r="D27" i="11" s="1"/>
  <c r="AX17" i="12"/>
  <c r="G11" i="12"/>
  <c r="G14" i="11" s="1"/>
  <c r="D94" i="12"/>
  <c r="D97" i="11" s="1"/>
  <c r="J94" i="11" s="1"/>
  <c r="D93" i="12"/>
  <c r="D96" i="11" s="1"/>
  <c r="AU91" i="12"/>
  <c r="P94" i="11" s="1"/>
  <c r="BI91" i="12"/>
  <c r="G89" i="12"/>
  <c r="G92" i="11" s="1"/>
  <c r="D85" i="12"/>
  <c r="D88" i="11" s="1"/>
  <c r="BF82" i="12"/>
  <c r="Q85" i="11" s="1"/>
  <c r="AJ82" i="12"/>
  <c r="O85" i="11" s="1"/>
  <c r="D84" i="12"/>
  <c r="D87" i="11" s="1"/>
  <c r="N82" i="12"/>
  <c r="M85" i="11" s="1"/>
  <c r="AU82" i="12"/>
  <c r="P85" i="11" s="1"/>
  <c r="D83" i="12"/>
  <c r="D86" i="11" s="1"/>
  <c r="Y82" i="12"/>
  <c r="N85" i="11" s="1"/>
  <c r="N91" i="12"/>
  <c r="M94" i="11" s="1"/>
  <c r="G86" i="12"/>
  <c r="G89" i="11" s="1"/>
  <c r="BT82" i="12"/>
  <c r="AM82" i="12"/>
  <c r="D80" i="12"/>
  <c r="D83" i="11" s="1"/>
  <c r="G87" i="12"/>
  <c r="G90" i="11" s="1"/>
  <c r="CE82" i="12"/>
  <c r="D76" i="12"/>
  <c r="D79" i="11" s="1"/>
  <c r="D75" i="12"/>
  <c r="D78" i="11" s="1"/>
  <c r="G74" i="12"/>
  <c r="G77" i="11" s="1"/>
  <c r="BT72" i="12"/>
  <c r="AM72" i="12"/>
  <c r="G70" i="12"/>
  <c r="G73" i="11" s="1"/>
  <c r="D68" i="12"/>
  <c r="D71" i="11" s="1"/>
  <c r="J68" i="11" s="1"/>
  <c r="G67" i="12"/>
  <c r="G70" i="11" s="1"/>
  <c r="CE65" i="12"/>
  <c r="BI65" i="12"/>
  <c r="AM65" i="12"/>
  <c r="G63" i="12"/>
  <c r="G66" i="11" s="1"/>
  <c r="CB57" i="12"/>
  <c r="S60" i="11" s="1"/>
  <c r="BH55" i="12"/>
  <c r="BH100" i="12" s="1"/>
  <c r="BH102" i="12" s="1"/>
  <c r="BS55" i="12"/>
  <c r="BT57" i="12"/>
  <c r="AA55" i="12"/>
  <c r="AA100" i="12" s="1"/>
  <c r="D58" i="12"/>
  <c r="D61" i="11" s="1"/>
  <c r="Y57" i="12"/>
  <c r="N60" i="11" s="1"/>
  <c r="Y72" i="12"/>
  <c r="N75" i="11" s="1"/>
  <c r="AB65" i="12"/>
  <c r="AM57" i="12"/>
  <c r="D59" i="12"/>
  <c r="D62" i="11" s="1"/>
  <c r="D52" i="12"/>
  <c r="D55" i="11" s="1"/>
  <c r="D51" i="12"/>
  <c r="D54" i="11" s="1"/>
  <c r="G50" i="12"/>
  <c r="G53" i="11" s="1"/>
  <c r="D48" i="12"/>
  <c r="D51" i="11" s="1"/>
  <c r="D47" i="12"/>
  <c r="D50" i="11" s="1"/>
  <c r="G46" i="12"/>
  <c r="G49" i="11" s="1"/>
  <c r="G45" i="12"/>
  <c r="G48" i="11" s="1"/>
  <c r="N57" i="12"/>
  <c r="M60" i="11" s="1"/>
  <c r="G53" i="12"/>
  <c r="G56" i="11" s="1"/>
  <c r="G51" i="12"/>
  <c r="G54" i="11" s="1"/>
  <c r="G49" i="12"/>
  <c r="G52" i="11" s="1"/>
  <c r="G47" i="12"/>
  <c r="G50" i="11" s="1"/>
  <c r="CB40" i="12"/>
  <c r="S43" i="11" s="1"/>
  <c r="BF40" i="12"/>
  <c r="Q43" i="11" s="1"/>
  <c r="D36" i="12"/>
  <c r="D39" i="11" s="1"/>
  <c r="N35" i="12"/>
  <c r="M38" i="11" s="1"/>
  <c r="Y40" i="12"/>
  <c r="N43" i="11" s="1"/>
  <c r="CE35" i="12"/>
  <c r="BI35" i="12"/>
  <c r="G32" i="12"/>
  <c r="G35" i="11" s="1"/>
  <c r="D31" i="12"/>
  <c r="D34" i="11" s="1"/>
  <c r="G33" i="11"/>
  <c r="G29" i="12"/>
  <c r="G32" i="11" s="1"/>
  <c r="D27" i="12"/>
  <c r="D30" i="11" s="1"/>
  <c r="N26" i="12"/>
  <c r="M29" i="11" s="1"/>
  <c r="D23" i="12"/>
  <c r="D26" i="11" s="1"/>
  <c r="D20" i="12"/>
  <c r="D23" i="11" s="1"/>
  <c r="D19" i="12"/>
  <c r="D22" i="11" s="1"/>
  <c r="CE17" i="12"/>
  <c r="BI17" i="12"/>
  <c r="AM17" i="12"/>
  <c r="G15" i="12"/>
  <c r="G18" i="11" s="1"/>
  <c r="G13" i="12"/>
  <c r="G16" i="11" s="1"/>
  <c r="G12" i="12"/>
  <c r="G15" i="11" s="1"/>
  <c r="D10" i="12"/>
  <c r="D13" i="11" s="1"/>
  <c r="CE7" i="12"/>
  <c r="BI7" i="12"/>
  <c r="AM7" i="12"/>
  <c r="G31" i="12"/>
  <c r="G34" i="11" s="1"/>
  <c r="Y26" i="12"/>
  <c r="N29" i="11" s="1"/>
  <c r="BT23" i="12"/>
  <c r="AB23" i="12"/>
  <c r="G22" i="12"/>
  <c r="G25" i="11" s="1"/>
  <c r="AU17" i="12"/>
  <c r="P20" i="11" s="1"/>
  <c r="Y7" i="12"/>
  <c r="G28" i="12"/>
  <c r="G31" i="11" s="1"/>
  <c r="BT26" i="12"/>
  <c r="AB26" i="12"/>
  <c r="AX23" i="12"/>
  <c r="BT7" i="12"/>
  <c r="AU7" i="12"/>
  <c r="P10" i="11" s="1"/>
  <c r="AB7" i="12"/>
  <c r="G19" i="12"/>
  <c r="G22" i="11" s="1"/>
  <c r="BT17" i="12"/>
  <c r="AB17" i="12"/>
  <c r="Y6" i="12" l="1"/>
  <c r="N10" i="11"/>
  <c r="R60" i="11"/>
  <c r="BQ55" i="12"/>
  <c r="R58" i="11" s="1"/>
  <c r="F55" i="12"/>
  <c r="F58" i="11" s="1"/>
  <c r="CD100" i="12"/>
  <c r="CD102" i="12" s="1"/>
  <c r="G85" i="12"/>
  <c r="G88" i="11" s="1"/>
  <c r="AL100" i="12"/>
  <c r="BF6" i="12"/>
  <c r="Q9" i="11" s="1"/>
  <c r="AJ6" i="12"/>
  <c r="O9" i="11" s="1"/>
  <c r="CB6" i="12"/>
  <c r="S9" i="11" s="1"/>
  <c r="BS100" i="12"/>
  <c r="CB55" i="12"/>
  <c r="S58" i="11" s="1"/>
  <c r="BQ6" i="12"/>
  <c r="R9" i="11" s="1"/>
  <c r="D35" i="12"/>
  <c r="D38" i="11" s="1"/>
  <c r="BQ100" i="12"/>
  <c r="R103" i="11" s="1"/>
  <c r="AU55" i="12"/>
  <c r="P58" i="11" s="1"/>
  <c r="AM6" i="12"/>
  <c r="BI6" i="12"/>
  <c r="CE6" i="12"/>
  <c r="D91" i="12"/>
  <c r="D94" i="11" s="1"/>
  <c r="D82" i="12"/>
  <c r="D85" i="11" s="1"/>
  <c r="D65" i="12"/>
  <c r="D68" i="11" s="1"/>
  <c r="AJ55" i="12"/>
  <c r="G93" i="12"/>
  <c r="G96" i="11" s="1"/>
  <c r="BM102" i="12"/>
  <c r="K100" i="12"/>
  <c r="K103" i="11" s="1"/>
  <c r="AB6" i="12"/>
  <c r="CE55" i="12"/>
  <c r="G18" i="12"/>
  <c r="G21" i="11" s="1"/>
  <c r="AU6" i="12"/>
  <c r="P9" i="11" s="1"/>
  <c r="BT6" i="12"/>
  <c r="G24" i="12"/>
  <c r="G27" i="11" s="1"/>
  <c r="G8" i="12"/>
  <c r="G11" i="11" s="1"/>
  <c r="D26" i="12"/>
  <c r="D29" i="11" s="1"/>
  <c r="D57" i="12"/>
  <c r="D60" i="11" s="1"/>
  <c r="N55" i="12"/>
  <c r="M58" i="11" s="1"/>
  <c r="Y55" i="12"/>
  <c r="N58" i="11" s="1"/>
  <c r="G73" i="12"/>
  <c r="G76" i="11" s="1"/>
  <c r="BT91" i="12"/>
  <c r="BT55" i="12" s="1"/>
  <c r="G96" i="12"/>
  <c r="G99" i="11" s="1"/>
  <c r="AX6" i="12"/>
  <c r="G27" i="12"/>
  <c r="G30" i="11" s="1"/>
  <c r="G26" i="12"/>
  <c r="G29" i="11" s="1"/>
  <c r="D40" i="12"/>
  <c r="D43" i="11" s="1"/>
  <c r="BF55" i="12"/>
  <c r="Q58" i="11" s="1"/>
  <c r="G83" i="12"/>
  <c r="G86" i="11" s="1"/>
  <c r="G82" i="12"/>
  <c r="G85" i="11" s="1"/>
  <c r="G94" i="12"/>
  <c r="G97" i="11" s="1"/>
  <c r="AB91" i="12"/>
  <c r="AM91" i="12"/>
  <c r="AM55" i="12" s="1"/>
  <c r="G41" i="12"/>
  <c r="G44" i="11" s="1"/>
  <c r="G40" i="12"/>
  <c r="G43" i="11" s="1"/>
  <c r="G66" i="12"/>
  <c r="G69" i="11" s="1"/>
  <c r="G65" i="12"/>
  <c r="G68" i="11" s="1"/>
  <c r="AX91" i="12"/>
  <c r="AX55" i="12" s="1"/>
  <c r="G36" i="12"/>
  <c r="G39" i="11" s="1"/>
  <c r="G59" i="12"/>
  <c r="G62" i="11" s="1"/>
  <c r="AB57" i="12"/>
  <c r="G58" i="12"/>
  <c r="G61" i="11" s="1"/>
  <c r="D72" i="12"/>
  <c r="D75" i="11" s="1"/>
  <c r="BI72" i="12"/>
  <c r="BI55" i="12" s="1"/>
  <c r="AJ100" i="12" l="1"/>
  <c r="O103" i="11" s="1"/>
  <c r="O58" i="11"/>
  <c r="N9" i="11"/>
  <c r="Y100" i="12"/>
  <c r="N103" i="11" s="1"/>
  <c r="AU100" i="12"/>
  <c r="P103" i="11" s="1"/>
  <c r="BF100" i="12"/>
  <c r="CB100" i="12"/>
  <c r="S103" i="11" s="1"/>
  <c r="AM100" i="12"/>
  <c r="BI100" i="12"/>
  <c r="AB55" i="12"/>
  <c r="AB100" i="12" s="1"/>
  <c r="CE100" i="12"/>
  <c r="BT35" i="12"/>
  <c r="G35" i="12" s="1"/>
  <c r="G38" i="11" s="1"/>
  <c r="G37" i="12"/>
  <c r="G40" i="11" s="1"/>
  <c r="G57" i="12"/>
  <c r="G60" i="11" s="1"/>
  <c r="Y101" i="12"/>
  <c r="N104" i="11" s="1"/>
  <c r="BQ102" i="12"/>
  <c r="BQ101" i="12"/>
  <c r="R104" i="11" s="1"/>
  <c r="G91" i="12"/>
  <c r="G94" i="11" s="1"/>
  <c r="AX100" i="12"/>
  <c r="G72" i="12"/>
  <c r="G75" i="11" s="1"/>
  <c r="D55" i="12"/>
  <c r="D58" i="11" s="1"/>
  <c r="AJ101" i="12"/>
  <c r="O104" i="11" s="1"/>
  <c r="G92" i="12"/>
  <c r="G95" i="11" s="1"/>
  <c r="BT100" i="12"/>
  <c r="BF102" i="12" l="1"/>
  <c r="Q103" i="11"/>
  <c r="AU101" i="12"/>
  <c r="CB101" i="12"/>
  <c r="S104" i="11" s="1"/>
  <c r="BF101" i="12"/>
  <c r="Q104" i="11" s="1"/>
  <c r="G55" i="12"/>
  <c r="G58" i="11" s="1"/>
  <c r="BF103" i="12"/>
  <c r="AL102" i="12" l="1"/>
  <c r="P104" i="11"/>
  <c r="B5" i="4"/>
  <c r="B7" i="4"/>
  <c r="B6" i="4"/>
  <c r="H5" i="4" l="1"/>
  <c r="A8" i="4" l="1"/>
  <c r="F24" i="1" l="1"/>
  <c r="F22" i="1"/>
  <c r="F21" i="1"/>
  <c r="F20" i="1"/>
  <c r="F19" i="1"/>
  <c r="F18" i="1"/>
  <c r="F17" i="1"/>
  <c r="F16" i="1"/>
  <c r="H15" i="1"/>
  <c r="E15" i="1"/>
  <c r="D15" i="1" s="1"/>
  <c r="D5" i="1" s="1"/>
  <c r="F14" i="1"/>
  <c r="F13" i="1"/>
  <c r="F12" i="1"/>
  <c r="F11" i="1"/>
  <c r="F10" i="1"/>
  <c r="F9" i="1"/>
  <c r="F8" i="1"/>
  <c r="F7" i="1"/>
  <c r="P5" i="1"/>
  <c r="O5" i="1"/>
  <c r="N5" i="1"/>
  <c r="M5" i="1"/>
  <c r="L5" i="1"/>
  <c r="K5" i="1"/>
  <c r="J5" i="1"/>
  <c r="I5" i="1"/>
  <c r="H5" i="1"/>
  <c r="G5" i="1"/>
  <c r="F5" i="1" l="1"/>
  <c r="E5" i="1"/>
  <c r="I6" i="6" l="1"/>
  <c r="I7" i="6"/>
  <c r="I8" i="6"/>
  <c r="I5" i="6"/>
  <c r="E59" i="1" l="1"/>
  <c r="P79" i="1"/>
  <c r="P99" i="1" s="1"/>
  <c r="P103" i="1" s="1"/>
  <c r="O44" i="1"/>
  <c r="P27" i="1"/>
  <c r="P89" i="1"/>
  <c r="P76" i="1"/>
  <c r="P75" i="1"/>
  <c r="M105" i="1"/>
  <c r="O83" i="1"/>
  <c r="O69" i="1"/>
  <c r="O82" i="1"/>
  <c r="N75" i="1"/>
  <c r="N82" i="1"/>
  <c r="N69" i="1"/>
  <c r="O77" i="1"/>
  <c r="O75" i="1"/>
  <c r="O105" i="1"/>
  <c r="N105" i="1"/>
  <c r="N86" i="1"/>
  <c r="N56" i="1"/>
  <c r="N83" i="1"/>
  <c r="M38" i="1"/>
  <c r="M32" i="1"/>
  <c r="M31" i="1"/>
  <c r="M29" i="1"/>
  <c r="M84" i="1"/>
  <c r="M47" i="1"/>
  <c r="M39" i="1"/>
  <c r="L63" i="1"/>
  <c r="P106" i="1"/>
  <c r="P105" i="1"/>
  <c r="O106" i="1"/>
  <c r="N106" i="1"/>
  <c r="M106" i="1"/>
  <c r="L106" i="1"/>
  <c r="L105" i="1"/>
  <c r="M99" i="1"/>
  <c r="M103" i="1" s="1"/>
  <c r="N99" i="1"/>
  <c r="N103" i="1" s="1"/>
  <c r="O99" i="1"/>
  <c r="O103" i="1" s="1"/>
  <c r="L99" i="1"/>
  <c r="L103" i="1" s="1"/>
  <c r="M62" i="1"/>
  <c r="M64" i="1"/>
  <c r="O76" i="1"/>
  <c r="M75" i="1"/>
  <c r="M85" i="1"/>
  <c r="O70" i="1"/>
  <c r="L84" i="1"/>
  <c r="F44" i="1"/>
  <c r="L55" i="1"/>
  <c r="N54" i="1"/>
  <c r="P53" i="1"/>
  <c r="P44" i="1" s="1"/>
  <c r="M52" i="1"/>
  <c r="M51" i="1"/>
  <c r="L48" i="1"/>
  <c r="L47" i="1"/>
  <c r="L46" i="1"/>
  <c r="L45" i="1"/>
  <c r="L44" i="1" l="1"/>
  <c r="P74" i="1"/>
  <c r="M27" i="1"/>
  <c r="N27" i="1"/>
  <c r="O27" i="1"/>
  <c r="N57" i="1"/>
  <c r="N44" i="1" s="1"/>
  <c r="M48" i="1"/>
  <c r="M44" i="1" s="1"/>
  <c r="E27" i="1"/>
  <c r="E37" i="1"/>
  <c r="E44" i="1"/>
  <c r="E42" i="1" s="1"/>
  <c r="E95" i="1"/>
  <c r="B4" i="4"/>
  <c r="B5" i="6" s="1"/>
  <c r="C4" i="4"/>
  <c r="F5" i="6" s="1"/>
  <c r="D4" i="4"/>
  <c r="C5" i="6" s="1"/>
  <c r="E4" i="4"/>
  <c r="D5" i="6" s="1"/>
  <c r="F4" i="4"/>
  <c r="E5" i="6" s="1"/>
  <c r="G4" i="4"/>
  <c r="G5" i="6" s="1"/>
  <c r="H4" i="4"/>
  <c r="H5" i="6" s="1"/>
  <c r="B6" i="6"/>
  <c r="C5" i="4"/>
  <c r="F6" i="6" s="1"/>
  <c r="D5" i="4"/>
  <c r="C6" i="6" s="1"/>
  <c r="E5" i="4"/>
  <c r="D6" i="6" s="1"/>
  <c r="F5" i="4"/>
  <c r="E6" i="6" s="1"/>
  <c r="G5" i="4"/>
  <c r="G6" i="6" s="1"/>
  <c r="H6" i="6"/>
  <c r="C6" i="4"/>
  <c r="F7" i="6" s="1"/>
  <c r="D6" i="4"/>
  <c r="C7" i="6" s="1"/>
  <c r="E6" i="4"/>
  <c r="D7" i="6" s="1"/>
  <c r="F6" i="4"/>
  <c r="E7" i="6" s="1"/>
  <c r="G6" i="4"/>
  <c r="G7" i="6" s="1"/>
  <c r="H6" i="4"/>
  <c r="H7" i="6" s="1"/>
  <c r="B8" i="6"/>
  <c r="C7" i="4"/>
  <c r="F8" i="6" s="1"/>
  <c r="D7" i="4"/>
  <c r="C8" i="6" s="1"/>
  <c r="E7" i="4"/>
  <c r="D8" i="6" s="1"/>
  <c r="F7" i="4"/>
  <c r="E8" i="6" s="1"/>
  <c r="G7" i="4"/>
  <c r="G8" i="6" s="1"/>
  <c r="H7" i="4"/>
  <c r="H8" i="6" s="1"/>
  <c r="I9" i="6"/>
  <c r="E96" i="1" l="1"/>
  <c r="B8" i="4"/>
  <c r="G8" i="4"/>
  <c r="G9" i="6" s="1"/>
  <c r="E8" i="4"/>
  <c r="D9" i="6" s="1"/>
  <c r="C8" i="4"/>
  <c r="F9" i="6" s="1"/>
  <c r="F8" i="4"/>
  <c r="E9" i="6" s="1"/>
  <c r="D8" i="4"/>
  <c r="C9" i="6" s="1"/>
  <c r="H8" i="4"/>
  <c r="H9" i="6" s="1"/>
  <c r="G76" i="1"/>
  <c r="G77" i="1"/>
  <c r="G78" i="1"/>
  <c r="G79" i="1"/>
  <c r="G80" i="1"/>
  <c r="G82" i="1"/>
  <c r="G83" i="1"/>
  <c r="G84" i="1"/>
  <c r="G85" i="1"/>
  <c r="G86" i="1"/>
  <c r="G87" i="1"/>
  <c r="G88" i="1"/>
  <c r="G90" i="1"/>
  <c r="G91" i="1"/>
  <c r="G92" i="1"/>
  <c r="G93" i="1"/>
  <c r="G58" i="1"/>
  <c r="G60" i="1"/>
  <c r="G62" i="1"/>
  <c r="G63" i="1"/>
  <c r="G64" i="1"/>
  <c r="G65" i="1"/>
  <c r="G66" i="1"/>
  <c r="G67" i="1"/>
  <c r="G69" i="1"/>
  <c r="G70" i="1"/>
  <c r="G71" i="1"/>
  <c r="G72" i="1"/>
  <c r="G73" i="1"/>
  <c r="G75" i="1"/>
  <c r="H89" i="1"/>
  <c r="I89" i="1"/>
  <c r="J89" i="1"/>
  <c r="K89" i="1"/>
  <c r="L89" i="1"/>
  <c r="M89" i="1"/>
  <c r="N89" i="1"/>
  <c r="O89" i="1"/>
  <c r="F89" i="1"/>
  <c r="D89" i="1" s="1"/>
  <c r="H81" i="1"/>
  <c r="I81" i="1"/>
  <c r="J81" i="1"/>
  <c r="K81" i="1"/>
  <c r="L81" i="1"/>
  <c r="M81" i="1"/>
  <c r="N81" i="1"/>
  <c r="O81" i="1"/>
  <c r="P81" i="1"/>
  <c r="F81" i="1"/>
  <c r="D81" i="1" s="1"/>
  <c r="H74" i="1"/>
  <c r="I74" i="1"/>
  <c r="J74" i="1"/>
  <c r="K74" i="1"/>
  <c r="L74" i="1"/>
  <c r="M74" i="1"/>
  <c r="N74" i="1"/>
  <c r="O74" i="1"/>
  <c r="F74" i="1"/>
  <c r="H68" i="1"/>
  <c r="I68" i="1"/>
  <c r="J68" i="1"/>
  <c r="K68" i="1"/>
  <c r="L68" i="1"/>
  <c r="M68" i="1"/>
  <c r="N68" i="1"/>
  <c r="O68" i="1"/>
  <c r="P68" i="1"/>
  <c r="F68" i="1"/>
  <c r="P61" i="1"/>
  <c r="H61" i="1"/>
  <c r="I61" i="1"/>
  <c r="J61" i="1"/>
  <c r="K61" i="1"/>
  <c r="L61" i="1"/>
  <c r="M61" i="1"/>
  <c r="N61" i="1"/>
  <c r="O61" i="1"/>
  <c r="F61" i="1"/>
  <c r="D88" i="1"/>
  <c r="D90" i="1"/>
  <c r="D91" i="1"/>
  <c r="D92" i="1"/>
  <c r="D93" i="1"/>
  <c r="D73" i="1"/>
  <c r="D75" i="1"/>
  <c r="D76" i="1"/>
  <c r="D77" i="1"/>
  <c r="D78" i="1"/>
  <c r="D79" i="1"/>
  <c r="D80" i="1"/>
  <c r="D82" i="1"/>
  <c r="D83" i="1"/>
  <c r="D84" i="1"/>
  <c r="D85" i="1"/>
  <c r="D86" i="1"/>
  <c r="D87" i="1"/>
  <c r="D57" i="1"/>
  <c r="G57" i="1"/>
  <c r="G39" i="1"/>
  <c r="D39" i="1"/>
  <c r="G47" i="1"/>
  <c r="G51" i="1"/>
  <c r="G53" i="1"/>
  <c r="G54" i="1"/>
  <c r="G56" i="1"/>
  <c r="G34" i="1"/>
  <c r="G30" i="1"/>
  <c r="B9" i="6" l="1"/>
  <c r="G89" i="1"/>
  <c r="D74" i="1"/>
  <c r="F59" i="1"/>
  <c r="H59" i="1"/>
  <c r="G74" i="1"/>
  <c r="G68" i="1"/>
  <c r="G81" i="1"/>
  <c r="G61" i="1"/>
  <c r="K103" i="1"/>
  <c r="J103" i="1"/>
  <c r="D56" i="1"/>
  <c r="D54" i="1"/>
  <c r="D53" i="1"/>
  <c r="D28" i="1"/>
  <c r="D31" i="1"/>
  <c r="D33" i="1"/>
  <c r="D34" i="1"/>
  <c r="D38" i="1"/>
  <c r="D55" i="1"/>
  <c r="D52" i="1"/>
  <c r="D47" i="1"/>
  <c r="D66" i="1"/>
  <c r="D70" i="1"/>
  <c r="F27" i="1"/>
  <c r="D30" i="1"/>
  <c r="G28" i="1"/>
  <c r="D51" i="1"/>
  <c r="J59" i="1"/>
  <c r="L59" i="1"/>
  <c r="N59" i="1"/>
  <c r="P59" i="1"/>
  <c r="K59" i="1"/>
  <c r="M59" i="1"/>
  <c r="O59" i="1"/>
  <c r="H44" i="1"/>
  <c r="I44" i="1"/>
  <c r="J44" i="1"/>
  <c r="K44" i="1"/>
  <c r="F37" i="1"/>
  <c r="H37" i="1"/>
  <c r="I37" i="1"/>
  <c r="J37" i="1"/>
  <c r="K37" i="1"/>
  <c r="L37" i="1"/>
  <c r="M37" i="1"/>
  <c r="N37" i="1"/>
  <c r="O37" i="1"/>
  <c r="P37" i="1"/>
  <c r="H27" i="1"/>
  <c r="I27" i="1"/>
  <c r="J27" i="1"/>
  <c r="K27" i="1"/>
  <c r="L27" i="1"/>
  <c r="G29" i="1"/>
  <c r="G31" i="1"/>
  <c r="G32" i="1"/>
  <c r="G33" i="1"/>
  <c r="G38" i="1"/>
  <c r="G40" i="1"/>
  <c r="G46" i="1"/>
  <c r="G45" i="1"/>
  <c r="G55" i="1"/>
  <c r="G48" i="1"/>
  <c r="G52" i="1"/>
  <c r="G49" i="1"/>
  <c r="G50" i="1"/>
  <c r="G95" i="1"/>
  <c r="D29" i="1"/>
  <c r="D32" i="1"/>
  <c r="D40" i="1"/>
  <c r="D46" i="1"/>
  <c r="D45" i="1"/>
  <c r="D48" i="1"/>
  <c r="D49" i="1"/>
  <c r="D50" i="1"/>
  <c r="D62" i="1"/>
  <c r="D63" i="1"/>
  <c r="D65" i="1"/>
  <c r="D69" i="1"/>
  <c r="D71" i="1"/>
  <c r="D72" i="1"/>
  <c r="D44" i="1" l="1"/>
  <c r="G59" i="1"/>
  <c r="I59" i="1"/>
  <c r="I42" i="1" s="1"/>
  <c r="F42" i="1"/>
  <c r="P42" i="1"/>
  <c r="P96" i="1" s="1"/>
  <c r="N42" i="1"/>
  <c r="N96" i="1" s="1"/>
  <c r="O42" i="1"/>
  <c r="O96" i="1" s="1"/>
  <c r="K42" i="1"/>
  <c r="J42" i="1"/>
  <c r="D68" i="1"/>
  <c r="G44" i="1"/>
  <c r="D61" i="1"/>
  <c r="D59" i="1" s="1"/>
  <c r="L42" i="1"/>
  <c r="M42" i="1"/>
  <c r="G37" i="1"/>
  <c r="D37" i="1"/>
  <c r="G27" i="1"/>
  <c r="D27" i="1"/>
  <c r="D42" i="1" l="1"/>
  <c r="F96" i="1"/>
  <c r="M96" i="1"/>
  <c r="M108" i="1" s="1"/>
  <c r="N100" i="1"/>
  <c r="N109" i="1" s="1"/>
  <c r="N108" i="1"/>
  <c r="O100" i="1"/>
  <c r="O109" i="1" s="1"/>
  <c r="O108" i="1"/>
  <c r="P100" i="1"/>
  <c r="P109" i="1" s="1"/>
  <c r="P108" i="1"/>
  <c r="I96" i="1"/>
  <c r="K96" i="1"/>
  <c r="K98" i="1" s="1"/>
  <c r="N101" i="1"/>
  <c r="J96" i="1"/>
  <c r="N98" i="1"/>
  <c r="O98" i="1"/>
  <c r="P98" i="1"/>
  <c r="D96" i="1"/>
  <c r="L96" i="1"/>
  <c r="M100" i="1" l="1"/>
  <c r="M109" i="1" s="1"/>
  <c r="M98" i="1"/>
  <c r="P101" i="1"/>
  <c r="O101" i="1"/>
  <c r="M101" i="1"/>
  <c r="L108" i="1"/>
  <c r="L100" i="1"/>
  <c r="L109" i="1" s="1"/>
  <c r="K100" i="1"/>
  <c r="K101" i="1" s="1"/>
  <c r="J100" i="1"/>
  <c r="J101" i="1" s="1"/>
  <c r="J98" i="1"/>
  <c r="L98" i="1"/>
  <c r="H42" i="1"/>
  <c r="H96" i="1" s="1"/>
  <c r="G42" i="1"/>
  <c r="G96" i="1" s="1"/>
  <c r="L101" i="1" l="1"/>
  <c r="N14" i="12" l="1"/>
  <c r="O14" i="12"/>
  <c r="N9" i="12"/>
  <c r="O9" i="12"/>
  <c r="O7" i="12" s="1"/>
  <c r="O6" i="12" s="1"/>
  <c r="O100" i="12" s="1"/>
  <c r="F6" i="12" l="1"/>
  <c r="D9" i="12"/>
  <c r="D12" i="11" s="1"/>
  <c r="M12" i="11"/>
  <c r="D14" i="12"/>
  <c r="D17" i="11" s="1"/>
  <c r="M17" i="11"/>
  <c r="N7" i="12"/>
  <c r="G9" i="12"/>
  <c r="G12" i="11" s="1"/>
  <c r="G14" i="12"/>
  <c r="G17" i="11" s="1"/>
  <c r="F9" i="11" l="1"/>
  <c r="D6" i="12"/>
  <c r="D9" i="11" s="1"/>
  <c r="N6" i="12"/>
  <c r="M10" i="11"/>
  <c r="G6" i="12"/>
  <c r="G9" i="11" s="1"/>
  <c r="M9" i="11" l="1"/>
  <c r="N100" i="12"/>
  <c r="G100" i="12"/>
  <c r="D100" i="12" l="1"/>
  <c r="M103" i="11"/>
  <c r="N101" i="12"/>
  <c r="M104" i="11" s="1"/>
  <c r="F103" i="11"/>
  <c r="G103" i="11"/>
  <c r="D103" i="11" l="1"/>
</calcChain>
</file>

<file path=xl/sharedStrings.xml><?xml version="1.0" encoding="utf-8"?>
<sst xmlns="http://schemas.openxmlformats.org/spreadsheetml/2006/main" count="1055" uniqueCount="392">
  <si>
    <t>Распределение обязательной нагрузки по курсам и семестрам (час. в семестр)</t>
  </si>
  <si>
    <t>Наименование циклов, разделов, дисциплин, профессиональных модулей, МДК, практик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</si>
  <si>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</si>
  <si>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</si>
  <si>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</si>
  <si>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</si>
  <si>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</si>
  <si>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Химия</t>
  </si>
  <si>
    <t>Биология</t>
  </si>
  <si>
    <t>Физическая культура</t>
  </si>
  <si>
    <t>ОБЖ</t>
  </si>
  <si>
    <t>Математика</t>
  </si>
  <si>
    <t>Физика</t>
  </si>
  <si>
    <t>Общий гуманитарный и социально-экономический цикл</t>
  </si>
  <si>
    <t>Основы     философии</t>
  </si>
  <si>
    <t>Русский язык и культура речи</t>
  </si>
  <si>
    <t>Введение в специальность</t>
  </si>
  <si>
    <t>Математический и общий естественнонаучный цикл</t>
  </si>
  <si>
    <t>Элементы высшей математики</t>
  </si>
  <si>
    <t>Теория вероятностей и математическая статистика</t>
  </si>
  <si>
    <t>Профессиональный цикл</t>
  </si>
  <si>
    <t>Общепрофессиональные дисциплины</t>
  </si>
  <si>
    <t>Компьютерные сети</t>
  </si>
  <si>
    <t>Устройство и функционирование информационной системы</t>
  </si>
  <si>
    <t>Основы алгоритмизации и программирования</t>
  </si>
  <si>
    <t>Основы проектирования баз данных</t>
  </si>
  <si>
    <t>Правовое обеспечение профессиональной деятельности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</si>
  <si>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</si>
  <si>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</si>
  <si>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</si>
  <si>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</si>
  <si>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Управление проектами</t>
  </si>
  <si>
    <t>Производственная практика (распределенная)</t>
  </si>
  <si>
    <t>Всего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</si>
  <si>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</si>
  <si>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</si>
  <si>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</si>
  <si>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</si>
  <si>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самостотельная</t>
  </si>
  <si>
    <t>Обязательная аудиторная</t>
  </si>
  <si>
    <t>всего занятий</t>
  </si>
  <si>
    <t>в том числе</t>
  </si>
  <si>
    <t>I курс</t>
  </si>
  <si>
    <t>II курс</t>
  </si>
  <si>
    <t>III курс</t>
  </si>
  <si>
    <t>IV курс</t>
  </si>
  <si>
    <t>занятий в группах и потоках (лекций, семинаров, уроков и т.п.)</t>
  </si>
  <si>
    <t>занятий в подгруппах (лаб. и практ. занятий)</t>
  </si>
  <si>
    <t>курсовых работ (проектов) для СПО</t>
  </si>
  <si>
    <t>О.00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</si>
  <si>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</si>
  <si>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</si>
  <si>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</si>
  <si>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</si>
  <si>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</si>
  <si>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</si>
  <si>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</si>
  <si>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</si>
  <si>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</si>
  <si>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ОДП.02</t>
  </si>
  <si>
    <t>ОДП.10</t>
  </si>
  <si>
    <t>ОДП.11</t>
  </si>
  <si>
    <t>ОДП.03</t>
  </si>
  <si>
    <t>ОГСЭ.00</t>
  </si>
  <si>
    <t>0/7/8</t>
  </si>
  <si>
    <t>ОГСЭ.01</t>
  </si>
  <si>
    <t>ДЗ</t>
  </si>
  <si>
    <t>ОГСЭ.02</t>
  </si>
  <si>
    <t>ОГСЭ.03</t>
  </si>
  <si>
    <t>З,ДЗ,З,ДЗ, ДЗ</t>
  </si>
  <si>
    <t>ОГСЭ.04</t>
  </si>
  <si>
    <t>З,З,З,З,З</t>
  </si>
  <si>
    <t>ОГСЭ.В.07</t>
  </si>
  <si>
    <t>ЕН.00</t>
  </si>
  <si>
    <t>1/4/0</t>
  </si>
  <si>
    <t>ЕН.01</t>
  </si>
  <si>
    <t>Э,ДЗ</t>
  </si>
  <si>
    <t>ЕН.03</t>
  </si>
  <si>
    <t>П.00</t>
  </si>
  <si>
    <t>ОП.00</t>
  </si>
  <si>
    <t>9/4/2</t>
  </si>
  <si>
    <t>ОП.01</t>
  </si>
  <si>
    <t>э</t>
  </si>
  <si>
    <t>ОП.02</t>
  </si>
  <si>
    <t>ОП.03</t>
  </si>
  <si>
    <t>ОП.06</t>
  </si>
  <si>
    <t>ДЗ,Э</t>
  </si>
  <si>
    <t>ОП.07</t>
  </si>
  <si>
    <t>ОП.09</t>
  </si>
  <si>
    <t>ОП.10</t>
  </si>
  <si>
    <t>ПМ.00</t>
  </si>
  <si>
    <t>дз,дз,дз,дз</t>
  </si>
  <si>
    <t>ПМ.02</t>
  </si>
  <si>
    <t>МДК.02.01</t>
  </si>
  <si>
    <t>МДК.02.02</t>
  </si>
  <si>
    <t>дз</t>
  </si>
  <si>
    <t>з</t>
  </si>
  <si>
    <r>
      <rPr>
        <b/>
        <sz val="12"/>
        <rFont val="Times New Roman"/>
        <family val="1"/>
        <charset val="204"/>
      </rPr>
      <t>1 сем.
19</t>
    </r>
  </si>
  <si>
    <r>
      <rPr>
        <b/>
        <sz val="12"/>
        <rFont val="Times New Roman"/>
        <family val="1"/>
        <charset val="204"/>
      </rPr>
      <t>2 сем.
20</t>
    </r>
  </si>
  <si>
    <t>с практикой</t>
  </si>
  <si>
    <t>часы без практики</t>
  </si>
  <si>
    <t xml:space="preserve">количество практики </t>
  </si>
  <si>
    <t xml:space="preserve">гиа </t>
  </si>
  <si>
    <t>вариатив</t>
  </si>
  <si>
    <t>Информационные технологии</t>
  </si>
  <si>
    <t>Экономика отрасли</t>
  </si>
  <si>
    <t>Психология общения</t>
  </si>
  <si>
    <t>Дискретная математика с элементами логики</t>
  </si>
  <si>
    <t>Стандартизация, сертификация и техническое документоведение</t>
  </si>
  <si>
    <t>Численные методы</t>
  </si>
  <si>
    <t>Менеджмент в проф.деятельности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</si>
  <si>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</si>
  <si>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</si>
  <si>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Математическое моделирование</t>
  </si>
  <si>
    <t>Моделирование и анализ программного обеспечения</t>
  </si>
  <si>
    <t>Проектирование и дизайн информационных систем</t>
  </si>
  <si>
    <t>Разработка кода информационных систем</t>
  </si>
  <si>
    <t>Тестирование информационных систем</t>
  </si>
  <si>
    <t>Внедрение ИС</t>
  </si>
  <si>
    <t>Инженерно-техническая поддержка сопровождения ИС</t>
  </si>
  <si>
    <t>Интеллектуальные системы и технологии</t>
  </si>
  <si>
    <t>Управление и автоматизация баз данных</t>
  </si>
  <si>
    <t>Сертификация информационных систем</t>
  </si>
  <si>
    <t>Основы предпринимательства</t>
  </si>
  <si>
    <t>Операционные системы и среды</t>
  </si>
  <si>
    <t>Архитектура аппаратных средств</t>
  </si>
  <si>
    <t>ОП.04</t>
  </si>
  <si>
    <t>ОП.05</t>
  </si>
  <si>
    <t>ОП.08</t>
  </si>
  <si>
    <t>ОП.11</t>
  </si>
  <si>
    <t>ОП.12</t>
  </si>
  <si>
    <t>ЕН.02</t>
  </si>
  <si>
    <t>ОГСЭ.05</t>
  </si>
  <si>
    <t>ОГСЭ.В.06</t>
  </si>
  <si>
    <t>ОП.В.13</t>
  </si>
  <si>
    <t>МДК.02.03</t>
  </si>
  <si>
    <t>УП.02</t>
  </si>
  <si>
    <t>ПП.02</t>
  </si>
  <si>
    <t>ПМ.03</t>
  </si>
  <si>
    <t>МДК.03.01</t>
  </si>
  <si>
    <t>МДК.03.02</t>
  </si>
  <si>
    <t>УП.03</t>
  </si>
  <si>
    <t>ПП.03</t>
  </si>
  <si>
    <t>ПМ.05</t>
  </si>
  <si>
    <t>МДК.05.01</t>
  </si>
  <si>
    <t>МДК.05.02</t>
  </si>
  <si>
    <t>МДК.05.03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</si>
  <si>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</si>
  <si>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</si>
  <si>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</si>
  <si>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</si>
  <si>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</si>
  <si>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</si>
  <si>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</si>
  <si>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УП.06</t>
  </si>
  <si>
    <t>ПП.06</t>
  </si>
  <si>
    <t>ПМ.07</t>
  </si>
  <si>
    <t>МДК.07.01</t>
  </si>
  <si>
    <t>МДК.07.02</t>
  </si>
  <si>
    <t>УП.07</t>
  </si>
  <si>
    <t>ПП.07</t>
  </si>
  <si>
    <t>Преддипломная практика</t>
  </si>
  <si>
    <t>4 нед</t>
  </si>
  <si>
    <r>
      <rPr>
        <b/>
        <sz val="11"/>
        <color indexed="8"/>
        <rFont val="Calibri"/>
        <family val="2"/>
        <charset val="204"/>
      </rPr>
      <t xml:space="preserve">ГИА </t>
    </r>
    <r>
      <rPr>
        <sz val="10"/>
        <color rgb="FF000000"/>
        <rFont val="Times New Roman"/>
        <family val="1"/>
        <charset val="204"/>
      </rPr>
      <t xml:space="preserve">- </t>
    </r>
    <r>
      <rPr>
        <sz val="11"/>
        <color indexed="8"/>
        <rFont val="Calibri"/>
        <family val="2"/>
        <charset val="204"/>
      </rPr>
      <t>Государственная итоговая аттестация</t>
    </r>
  </si>
  <si>
    <r>
      <rPr>
        <b/>
        <sz val="11"/>
        <color indexed="8"/>
        <rFont val="Calibri"/>
        <family val="2"/>
        <charset val="204"/>
      </rPr>
      <t xml:space="preserve">Пд </t>
    </r>
    <r>
      <rPr>
        <sz val="10"/>
        <color rgb="FF000000"/>
        <rFont val="Times New Roman"/>
        <family val="1"/>
        <charset val="204"/>
      </rPr>
      <t>- преддипломная практика</t>
    </r>
  </si>
  <si>
    <r>
      <rPr>
        <b/>
        <sz val="11"/>
        <color indexed="8"/>
        <rFont val="Calibri"/>
        <family val="2"/>
        <charset val="204"/>
      </rPr>
      <t xml:space="preserve">Пс </t>
    </r>
    <r>
      <rPr>
        <sz val="10"/>
        <color rgb="FF000000"/>
        <rFont val="Times New Roman"/>
        <family val="1"/>
        <charset val="204"/>
      </rPr>
      <t>- производственная практика</t>
    </r>
  </si>
  <si>
    <r>
      <rPr>
        <b/>
        <sz val="11"/>
        <color indexed="8"/>
        <rFont val="Calibri"/>
        <family val="2"/>
        <charset val="204"/>
      </rPr>
      <t xml:space="preserve">У </t>
    </r>
    <r>
      <rPr>
        <sz val="10"/>
        <color rgb="FF000000"/>
        <rFont val="Times New Roman"/>
        <family val="1"/>
        <charset val="204"/>
      </rPr>
      <t>- учебная практика</t>
    </r>
  </si>
  <si>
    <r>
      <rPr>
        <b/>
        <sz val="11"/>
        <color indexed="8"/>
        <rFont val="Calibri"/>
        <family val="2"/>
        <charset val="204"/>
      </rPr>
      <t xml:space="preserve">К </t>
    </r>
    <r>
      <rPr>
        <sz val="10"/>
        <color rgb="FF000000"/>
        <rFont val="Times New Roman"/>
        <family val="1"/>
        <charset val="204"/>
      </rPr>
      <t xml:space="preserve"> каникулы</t>
    </r>
  </si>
  <si>
    <r>
      <rPr>
        <b/>
        <sz val="11"/>
        <color indexed="8"/>
        <rFont val="Calibri"/>
        <family val="2"/>
        <charset val="204"/>
      </rPr>
      <t xml:space="preserve">С </t>
    </r>
    <r>
      <rPr>
        <sz val="10"/>
        <color rgb="FF000000"/>
        <rFont val="Times New Roman"/>
        <family val="1"/>
        <charset val="204"/>
      </rPr>
      <t>- сессия</t>
    </r>
  </si>
  <si>
    <r>
      <rPr>
        <b/>
        <sz val="11"/>
        <color indexed="8"/>
        <rFont val="Calibri"/>
        <family val="2"/>
        <charset val="204"/>
      </rPr>
      <t xml:space="preserve">Т </t>
    </r>
    <r>
      <rPr>
        <sz val="10"/>
        <color rgb="FF000000"/>
        <rFont val="Times New Roman"/>
        <family val="1"/>
        <charset val="204"/>
      </rPr>
      <t>- теоретическое обучение</t>
    </r>
  </si>
  <si>
    <t>Условные обозначения</t>
  </si>
  <si>
    <t>гиа</t>
  </si>
  <si>
    <t>пд</t>
  </si>
  <si>
    <t>у</t>
  </si>
  <si>
    <t>с</t>
  </si>
  <si>
    <t>т</t>
  </si>
  <si>
    <t>к</t>
  </si>
  <si>
    <t>пс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</si>
  <si>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</si>
  <si>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</si>
  <si>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</si>
  <si>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</si>
  <si>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</si>
  <si>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</si>
  <si>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</si>
  <si>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</si>
  <si>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</si>
  <si>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</si>
  <si>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</si>
  <si>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</si>
  <si>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</t>
  </si>
  <si>
    <t>Каникулы</t>
  </si>
  <si>
    <t>ГИА</t>
  </si>
  <si>
    <t>Промежуточная аттестация</t>
  </si>
  <si>
    <t>Теоретическое обучение</t>
  </si>
  <si>
    <t>7 сем.
20/30</t>
  </si>
  <si>
    <t>3 сем.
16/17</t>
  </si>
  <si>
    <t>недели с практикой</t>
  </si>
  <si>
    <t>часы практики</t>
  </si>
  <si>
    <t>недели без практики</t>
  </si>
  <si>
    <t>фактически</t>
  </si>
  <si>
    <t>часы с практикой</t>
  </si>
  <si>
    <t xml:space="preserve">часы без практики </t>
  </si>
  <si>
    <t>-/+</t>
  </si>
  <si>
    <t>5 сем.
15/19</t>
  </si>
  <si>
    <t>6 сем.
17/21</t>
  </si>
  <si>
    <t>4 сем.
21/23</t>
  </si>
  <si>
    <t>Общие базовые</t>
  </si>
  <si>
    <t>~,э</t>
  </si>
  <si>
    <t>~,дз</t>
  </si>
  <si>
    <t>з,з</t>
  </si>
  <si>
    <t>Астрономия</t>
  </si>
  <si>
    <t>По выбору из обязательных предметных областей</t>
  </si>
  <si>
    <t>Информатика</t>
  </si>
  <si>
    <t>~.дз</t>
  </si>
  <si>
    <t>Обществознание (вкл. экономику и право)</t>
  </si>
  <si>
    <t>География</t>
  </si>
  <si>
    <t>Экология</t>
  </si>
  <si>
    <t xml:space="preserve">Дополнительные </t>
  </si>
  <si>
    <t>Основы проектной деятельности</t>
  </si>
  <si>
    <t>Государственная итоговая аттестация</t>
  </si>
  <si>
    <t>Курсы</t>
  </si>
  <si>
    <t>по профилю специальности</t>
  </si>
  <si>
    <t>преддипломная (для СПО)</t>
  </si>
  <si>
    <t>Общепрофессиональный цикл</t>
  </si>
  <si>
    <t>семестр</t>
  </si>
  <si>
    <t>длительность</t>
  </si>
  <si>
    <t>часов в неделю</t>
  </si>
  <si>
    <t>без практики</t>
  </si>
  <si>
    <t>~,ДЗ</t>
  </si>
  <si>
    <t>ПМ 02. Осуществление интеграции программных модулей</t>
  </si>
  <si>
    <t>ПМ03. Ревьюирование программных модулей</t>
  </si>
  <si>
    <t>ПМ05. Проектирование и разработка информационных систем</t>
  </si>
  <si>
    <t>ПМ06 Эксплуатация и сопровождение ИС</t>
  </si>
  <si>
    <t>ПМ06. Эксплуатация и сопровождение ИС</t>
  </si>
  <si>
    <t>ПМ07. Соадминистрирование и автоматизация баз данных и серверов</t>
  </si>
  <si>
    <t>ПМ02 Осуществление интеграции программных модулей</t>
  </si>
  <si>
    <t>~</t>
  </si>
  <si>
    <t>ОДБ.00</t>
  </si>
  <si>
    <t>ОДП.00</t>
  </si>
  <si>
    <t>ОДП.01</t>
  </si>
  <si>
    <t>ОДП.04</t>
  </si>
  <si>
    <t>ОДП.05</t>
  </si>
  <si>
    <t>ОГСЭ.В.08</t>
  </si>
  <si>
    <t>ОДП.Д.08</t>
  </si>
  <si>
    <t>код</t>
  </si>
  <si>
    <t>название</t>
  </si>
  <si>
    <t>ознакомительная</t>
  </si>
  <si>
    <t>ОП или МДК</t>
  </si>
  <si>
    <t>Оп.01 Операционные системы</t>
  </si>
  <si>
    <t>УП.02.01</t>
  </si>
  <si>
    <t>УП.02.02</t>
  </si>
  <si>
    <t>Эксплуатация системного прогрманного обеспечения</t>
  </si>
  <si>
    <t>УП.02.03</t>
  </si>
  <si>
    <t>МДК.02.03+ОП.04</t>
  </si>
  <si>
    <t>МДК.02.01+МДК.02.02</t>
  </si>
  <si>
    <t>УП.02.04</t>
  </si>
  <si>
    <t>Разработка ПО на базе платформы С#</t>
  </si>
  <si>
    <t>2 курс</t>
  </si>
  <si>
    <t>3 курс</t>
  </si>
  <si>
    <t>4 курс</t>
  </si>
  <si>
    <t>УП.03.01</t>
  </si>
  <si>
    <t>Моделирование ИС в нотации IDEF0</t>
  </si>
  <si>
    <t>УП.03.0</t>
  </si>
  <si>
    <t>Ильина</t>
  </si>
  <si>
    <t>Галимова</t>
  </si>
  <si>
    <t xml:space="preserve">занятий в группах </t>
  </si>
  <si>
    <t>практ работы</t>
  </si>
  <si>
    <t>курсовых проекты</t>
  </si>
  <si>
    <t>консультации</t>
  </si>
  <si>
    <t>экзамены</t>
  </si>
  <si>
    <t>лабораторные</t>
  </si>
  <si>
    <t>общая</t>
  </si>
  <si>
    <t>аудиторная</t>
  </si>
  <si>
    <t>теория</t>
  </si>
  <si>
    <t>1 семестр  17</t>
  </si>
  <si>
    <t>2 семестр 22</t>
  </si>
  <si>
    <t>1 курс</t>
  </si>
  <si>
    <t>МДК 05.04</t>
  </si>
  <si>
    <t>Подготовка к ДЭ Программные решения для бизнеса</t>
  </si>
  <si>
    <t>МДК 05.05</t>
  </si>
  <si>
    <t>ДЭ</t>
  </si>
  <si>
    <t>Подготовка к ДЭ IT- решения для бизнеса</t>
  </si>
  <si>
    <t>практические</t>
  </si>
  <si>
    <t>курсовые</t>
  </si>
  <si>
    <t>Консультации</t>
  </si>
  <si>
    <t>занятия по подгруппам</t>
  </si>
  <si>
    <t>формы пром. аттестации</t>
  </si>
  <si>
    <t>кэ</t>
  </si>
  <si>
    <t>дэ</t>
  </si>
  <si>
    <t>~,дз, ~,дз,дз</t>
  </si>
  <si>
    <t>Менеджмент в профессиональной деятельности</t>
  </si>
  <si>
    <t>дз,дз</t>
  </si>
  <si>
    <t>дз,дз,дз</t>
  </si>
  <si>
    <t>~ компл.экз. с МДК06.04</t>
  </si>
  <si>
    <t>~ компл.экз. с МДК06.01,06.02</t>
  </si>
  <si>
    <t>Квалификационный экзамен</t>
  </si>
  <si>
    <t>Галимова/Пивоваров</t>
  </si>
  <si>
    <t>Немтинова</t>
  </si>
  <si>
    <t>5 семестр  12+1+4/17</t>
  </si>
  <si>
    <t>3 сем.   15+1+1/17</t>
  </si>
  <si>
    <t>7 семестр  17+1+6+7/31</t>
  </si>
  <si>
    <t>ПМ 03</t>
  </si>
  <si>
    <t>1 семестр</t>
  </si>
  <si>
    <t>ПМ 05</t>
  </si>
  <si>
    <t>ПМ 06</t>
  </si>
  <si>
    <t>ПМ 07</t>
  </si>
  <si>
    <t>ПМ 02</t>
  </si>
  <si>
    <t>2 семестр</t>
  </si>
  <si>
    <t>УП.05.01</t>
  </si>
  <si>
    <t>Проектирование ИС</t>
  </si>
  <si>
    <t>МДК 05.01</t>
  </si>
  <si>
    <t>УП.06.01</t>
  </si>
  <si>
    <t>МДК 06.01</t>
  </si>
  <si>
    <t>УП.05.03</t>
  </si>
  <si>
    <t>УП.05.02</t>
  </si>
  <si>
    <t>МДК 05.02</t>
  </si>
  <si>
    <t>Разработка кода ИС на базе платформы С#</t>
  </si>
  <si>
    <t>Разработка кода ИС на базе платформы 1C:Предприятие</t>
  </si>
  <si>
    <t>Сопровождение ИС на базе 1C:Предприятие</t>
  </si>
  <si>
    <t>Внедрение ИС на базе платформы 1C:Предприятие</t>
  </si>
  <si>
    <t>УП.06.02</t>
  </si>
  <si>
    <t>УП.06.03</t>
  </si>
  <si>
    <t>Внедрение ИС на базе платформы С#</t>
  </si>
  <si>
    <t>МДК 06.02</t>
  </si>
  <si>
    <t>УП.05.04</t>
  </si>
  <si>
    <t>УП.05.05</t>
  </si>
  <si>
    <t>УП.05.06</t>
  </si>
  <si>
    <t>IT- решения для бизнеса</t>
  </si>
  <si>
    <t>УП.05.07</t>
  </si>
  <si>
    <t>УП.05.08</t>
  </si>
  <si>
    <t>МДК 05.03</t>
  </si>
  <si>
    <t>Управление  базами данных</t>
  </si>
  <si>
    <t>УП.07.01</t>
  </si>
  <si>
    <t>МДК 07.01</t>
  </si>
  <si>
    <t>УП.07.02</t>
  </si>
  <si>
    <t>Программные решения для бизнеса</t>
  </si>
  <si>
    <t>Пивоваров/Пивоваров</t>
  </si>
  <si>
    <t>4 сем.  20+1+3/24</t>
  </si>
  <si>
    <t>6 семестр 18+1+6/25</t>
  </si>
  <si>
    <t>План учебного процесса</t>
  </si>
  <si>
    <t>Наименование циклов, дисциплин, профессиональных модулей, МДК, практик</t>
  </si>
  <si>
    <t>Объем образовательной нагрузки</t>
  </si>
  <si>
    <t>Учебная нагрузка обучающихся  (час.)</t>
  </si>
  <si>
    <t>Распределение учебной нагрузки по курсам и семестрам (час.в семестр)</t>
  </si>
  <si>
    <t xml:space="preserve">самостоятельная учебная работа </t>
  </si>
  <si>
    <t>Во взаимодействии с преподавателем</t>
  </si>
  <si>
    <t>Нагрузка на дисциплины и МДК</t>
  </si>
  <si>
    <t>По практике производственной и учебной</t>
  </si>
  <si>
    <t xml:space="preserve">всего учебных занятий </t>
  </si>
  <si>
    <t>в том числе по учебным дисциплинам и МДК</t>
  </si>
  <si>
    <t>лаб. и практ. занятий</t>
  </si>
  <si>
    <t>курсовых работ (проектов)</t>
  </si>
  <si>
    <t>6 УП</t>
  </si>
  <si>
    <t>1 ПА</t>
  </si>
  <si>
    <t>2 ПА</t>
  </si>
  <si>
    <t>1 УП</t>
  </si>
  <si>
    <t>4 УП</t>
  </si>
  <si>
    <t>3 УП</t>
  </si>
  <si>
    <t xml:space="preserve"> форма промежуточная аттестация</t>
  </si>
  <si>
    <t>промежуточная аттестация</t>
  </si>
  <si>
    <t>~дэ</t>
  </si>
  <si>
    <t>недели учебные</t>
  </si>
  <si>
    <t>сессия</t>
  </si>
  <si>
    <t>7 ПП/4пдп</t>
  </si>
  <si>
    <t>1 ПА/6 ГИА</t>
  </si>
  <si>
    <t xml:space="preserve"> </t>
  </si>
  <si>
    <t xml:space="preserve">Производственная практика </t>
  </si>
  <si>
    <t>дз,э</t>
  </si>
  <si>
    <t>компл.экз</t>
  </si>
  <si>
    <t>з,з,з,з,з</t>
  </si>
  <si>
    <t>1. Сводные данные по бюджету времени (в неделях) специальность 09.02.07 «Информационные системы и программирование»</t>
  </si>
  <si>
    <t>Кабинеты:</t>
  </si>
  <si>
    <t>Лаборатории:</t>
  </si>
  <si>
    <t>Спортивный комплекс</t>
  </si>
  <si>
    <t>Залы:</t>
  </si>
  <si>
    <t>Библиотека, читальный зал с выходом в интернет</t>
  </si>
  <si>
    <t>Актовый зал</t>
  </si>
  <si>
    <r>
      <t xml:space="preserve"> </t>
    </r>
    <r>
      <rPr>
        <b/>
        <sz val="12"/>
        <color theme="1"/>
        <rFont val="Times New Roman"/>
        <family val="1"/>
        <charset val="204"/>
      </rPr>
      <t>Календарный учебный график  2019-2023 у.г.  специальности 09.02.07  Информационные системы и программирование</t>
    </r>
  </si>
  <si>
    <t>Обучение по дисциплинам и междисциплинарным курсам</t>
  </si>
  <si>
    <r>
      <t>-</t>
    </r>
    <r>
      <rPr>
        <sz val="12"/>
        <color rgb="FF000000"/>
        <rFont val="Times New Roman"/>
        <family val="1"/>
        <charset val="204"/>
      </rPr>
      <t>        Социально-экономических дисциплин;</t>
    </r>
  </si>
  <si>
    <r>
      <t>-</t>
    </r>
    <r>
      <rPr>
        <sz val="12"/>
        <color rgb="FF000000"/>
        <rFont val="Times New Roman"/>
        <family val="1"/>
        <charset val="204"/>
      </rPr>
      <t>        Иностранного языка (лингафонный);</t>
    </r>
  </si>
  <si>
    <r>
      <t>-</t>
    </r>
    <r>
      <rPr>
        <sz val="12"/>
        <color rgb="FF000000"/>
        <rFont val="Times New Roman"/>
        <family val="1"/>
        <charset val="204"/>
      </rPr>
      <t>        Математических дисциплин;</t>
    </r>
  </si>
  <si>
    <r>
      <t>-</t>
    </r>
    <r>
      <rPr>
        <sz val="12"/>
        <color rgb="FF000000"/>
        <rFont val="Times New Roman"/>
        <family val="1"/>
        <charset val="204"/>
      </rPr>
      <t>        Естественнонаучных дисциплин;</t>
    </r>
  </si>
  <si>
    <r>
      <t>-</t>
    </r>
    <r>
      <rPr>
        <sz val="12"/>
        <color rgb="FF000000"/>
        <rFont val="Times New Roman"/>
        <family val="1"/>
        <charset val="204"/>
      </rPr>
      <t>        Информатики;</t>
    </r>
  </si>
  <si>
    <r>
      <t>-</t>
    </r>
    <r>
      <rPr>
        <sz val="12"/>
        <color rgb="FF000000"/>
        <rFont val="Times New Roman"/>
        <family val="1"/>
        <charset val="204"/>
      </rPr>
      <t>        Безопасности жизнедеятельности;</t>
    </r>
  </si>
  <si>
    <r>
      <t>-</t>
    </r>
    <r>
      <rPr>
        <sz val="12"/>
        <color rgb="FF000000"/>
        <rFont val="Times New Roman"/>
        <family val="1"/>
        <charset val="204"/>
      </rPr>
      <t>        Метрологии и стандартизации.</t>
    </r>
  </si>
  <si>
    <r>
      <t>-</t>
    </r>
    <r>
      <rPr>
        <sz val="12"/>
        <color rgb="FF000000"/>
        <rFont val="Times New Roman"/>
        <family val="1"/>
        <charset val="204"/>
      </rPr>
      <t>        Программного обеспечения и сопровождения компьютерных систем;</t>
    </r>
  </si>
  <si>
    <r>
      <t>-</t>
    </r>
    <r>
      <rPr>
        <sz val="12"/>
        <color rgb="FF000000"/>
        <rFont val="Times New Roman"/>
        <family val="1"/>
        <charset val="204"/>
      </rPr>
      <t>        Программирования и баз данных;</t>
    </r>
  </si>
  <si>
    <r>
      <t>-</t>
    </r>
    <r>
      <rPr>
        <sz val="12"/>
        <color rgb="FF000000"/>
        <rFont val="Times New Roman"/>
        <family val="1"/>
        <charset val="204"/>
      </rPr>
      <t>        Организации и принципов построения информационных систем;</t>
    </r>
  </si>
  <si>
    <t>~, э, компл.МДК05.03</t>
  </si>
  <si>
    <t>компл.МДК 05.02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</si>
</sst>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Symbol"/>
      <family val="1"/>
      <charset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1DAFF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9" fillId="0" borderId="0"/>
    <xf numFmtId="0" fontId="1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601">
    <xf numFmtId="0" fontId="0" fillId="0" borderId="0" xfId="0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8" fillId="0" borderId="1" xfId="1" applyFont="1" applyFill="1" applyBorder="1" applyAlignment="1" applyProtection="1">
      <alignment horizontal="left" vertical="top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left" vertical="top"/>
    </xf>
    <xf numFmtId="0" fontId="6" fillId="0" borderId="1" xfId="1" applyFont="1" applyFill="1" applyBorder="1" applyAlignment="1" applyProtection="1">
      <alignment horizontal="left" textRotation="90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1" fontId="4" fillId="0" borderId="0" xfId="1" applyNumberFormat="1" applyFont="1" applyFill="1" applyBorder="1" applyAlignment="1" applyProtection="1">
      <alignment horizontal="left" vertical="top"/>
      <protection locked="0"/>
    </xf>
    <xf numFmtId="0" fontId="8" fillId="0" borderId="7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/>
    <xf numFmtId="1" fontId="7" fillId="0" borderId="0" xfId="0" applyNumberFormat="1" applyFont="1" applyFill="1"/>
    <xf numFmtId="0" fontId="9" fillId="0" borderId="0" xfId="2"/>
    <xf numFmtId="0" fontId="9" fillId="0" borderId="0" xfId="2" applyBorder="1"/>
    <xf numFmtId="0" fontId="10" fillId="0" borderId="0" xfId="3" applyFill="1" applyBorder="1" applyAlignment="1">
      <alignment horizontal="left"/>
    </xf>
    <xf numFmtId="0" fontId="9" fillId="0" borderId="0" xfId="2" applyBorder="1" applyAlignment="1"/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9" fillId="0" borderId="16" xfId="2" applyBorder="1"/>
    <xf numFmtId="0" fontId="9" fillId="0" borderId="12" xfId="2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 textRotation="90"/>
    </xf>
    <xf numFmtId="0" fontId="16" fillId="0" borderId="12" xfId="2" applyFont="1" applyBorder="1" applyAlignment="1">
      <alignment horizontal="center" vertical="center" textRotation="90"/>
    </xf>
    <xf numFmtId="0" fontId="16" fillId="0" borderId="12" xfId="2" applyFont="1" applyFill="1" applyBorder="1" applyAlignment="1">
      <alignment horizontal="center" vertical="center"/>
    </xf>
    <xf numFmtId="0" fontId="18" fillId="0" borderId="12" xfId="2" applyFont="1" applyBorder="1" applyAlignment="1">
      <alignment horizontal="center" vertical="center" textRotation="90"/>
    </xf>
    <xf numFmtId="0" fontId="18" fillId="0" borderId="17" xfId="2" applyFont="1" applyBorder="1" applyAlignment="1">
      <alignment horizontal="center" vertical="center" textRotation="90"/>
    </xf>
    <xf numFmtId="0" fontId="6" fillId="0" borderId="1" xfId="1" applyFont="1" applyFill="1" applyBorder="1" applyAlignment="1" applyProtection="1">
      <alignment horizontal="center" vertical="top" wrapText="1"/>
      <protection locked="0"/>
    </xf>
    <xf numFmtId="0" fontId="6" fillId="0" borderId="5" xfId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 applyProtection="1">
      <alignment horizontal="left" vertical="top" wrapText="1" indent="2"/>
      <protection locked="0"/>
    </xf>
    <xf numFmtId="0" fontId="8" fillId="0" borderId="1" xfId="1" applyFont="1" applyFill="1" applyBorder="1" applyAlignment="1" applyProtection="1">
      <alignment horizontal="left" vertical="top" wrapText="1" indent="2"/>
      <protection locked="0"/>
    </xf>
    <xf numFmtId="0" fontId="4" fillId="0" borderId="1" xfId="1" applyFont="1" applyFill="1" applyBorder="1" applyAlignment="1" applyProtection="1">
      <alignment horizontal="left" vertical="top" wrapText="1" indent="2"/>
      <protection locked="0"/>
    </xf>
    <xf numFmtId="0" fontId="7" fillId="0" borderId="12" xfId="0" applyFont="1" applyFill="1" applyBorder="1"/>
    <xf numFmtId="49" fontId="7" fillId="0" borderId="0" xfId="0" applyNumberFormat="1" applyFont="1" applyFill="1"/>
    <xf numFmtId="0" fontId="7" fillId="0" borderId="0" xfId="0" applyFont="1" applyFill="1" applyAlignment="1">
      <alignment horizontal="left" indent="2"/>
    </xf>
    <xf numFmtId="1" fontId="7" fillId="0" borderId="12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2" applyFont="1"/>
    <xf numFmtId="0" fontId="8" fillId="0" borderId="2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/>
    <xf numFmtId="1" fontId="5" fillId="6" borderId="4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/>
    <xf numFmtId="1" fontId="4" fillId="6" borderId="4" xfId="1" applyNumberFormat="1" applyFont="1" applyFill="1" applyBorder="1" applyAlignment="1" applyProtection="1">
      <alignment horizontal="center" vertical="center" wrapText="1"/>
      <protection locked="0"/>
    </xf>
    <xf numFmtId="1" fontId="7" fillId="7" borderId="1" xfId="0" applyNumberFormat="1" applyFont="1" applyFill="1" applyBorder="1" applyAlignment="1">
      <alignment horizontal="center" vertical="center" wrapText="1"/>
    </xf>
    <xf numFmtId="1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7" fillId="8" borderId="1" xfId="0" applyNumberFormat="1" applyFont="1" applyFill="1" applyBorder="1" applyAlignment="1">
      <alignment horizontal="center" vertical="center" wrapText="1"/>
    </xf>
    <xf numFmtId="1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8" borderId="2" xfId="1" applyNumberFormat="1" applyFont="1" applyFill="1" applyBorder="1" applyAlignment="1" applyProtection="1">
      <alignment horizontal="center" vertical="center" wrapText="1"/>
      <protection locked="0"/>
    </xf>
    <xf numFmtId="1" fontId="7" fillId="9" borderId="1" xfId="0" applyNumberFormat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9" borderId="2" xfId="1" applyNumberFormat="1" applyFont="1" applyFill="1" applyBorder="1" applyAlignment="1" applyProtection="1">
      <alignment horizontal="center" vertical="center" wrapText="1"/>
      <protection locked="0"/>
    </xf>
    <xf numFmtId="1" fontId="7" fillId="1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left" vertical="top" wrapText="1"/>
      <protection locked="0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 applyProtection="1">
      <alignment horizontal="left" vertical="top" wrapText="1"/>
      <protection locked="0"/>
    </xf>
    <xf numFmtId="0" fontId="8" fillId="6" borderId="4" xfId="1" applyFont="1" applyFill="1" applyBorder="1" applyAlignment="1" applyProtection="1">
      <alignment horizontal="left" vertical="top" wrapText="1"/>
      <protection locked="0"/>
    </xf>
    <xf numFmtId="1" fontId="5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top" wrapText="1"/>
    </xf>
    <xf numFmtId="1" fontId="7" fillId="6" borderId="12" xfId="0" applyNumberFormat="1" applyFont="1" applyFill="1" applyBorder="1" applyAlignment="1">
      <alignment horizontal="center" vertical="center" wrapText="1"/>
    </xf>
    <xf numFmtId="0" fontId="6" fillId="13" borderId="1" xfId="1" applyFont="1" applyFill="1" applyBorder="1" applyAlignment="1" applyProtection="1">
      <alignment horizontal="left" vertical="top" wrapText="1"/>
      <protection locked="0"/>
    </xf>
    <xf numFmtId="0" fontId="8" fillId="13" borderId="4" xfId="0" applyFont="1" applyFill="1" applyBorder="1" applyAlignment="1">
      <alignment horizontal="center" vertical="top" wrapText="1"/>
    </xf>
    <xf numFmtId="1" fontId="7" fillId="13" borderId="1" xfId="0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top" wrapText="1"/>
    </xf>
    <xf numFmtId="0" fontId="8" fillId="6" borderId="0" xfId="1" applyFont="1" applyFill="1" applyBorder="1" applyAlignment="1" applyProtection="1">
      <alignment horizontal="center" vertical="center" wrapText="1"/>
      <protection locked="0"/>
    </xf>
    <xf numFmtId="0" fontId="6" fillId="14" borderId="1" xfId="1" applyFont="1" applyFill="1" applyBorder="1" applyAlignment="1" applyProtection="1">
      <alignment horizontal="left" vertical="top" wrapText="1"/>
      <protection locked="0"/>
    </xf>
    <xf numFmtId="1" fontId="5" fillId="14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14" borderId="1" xfId="0" applyNumberFormat="1" applyFont="1" applyFill="1" applyBorder="1" applyAlignment="1">
      <alignment horizontal="center" vertical="center" wrapText="1"/>
    </xf>
    <xf numFmtId="1" fontId="8" fillId="14" borderId="1" xfId="0" applyNumberFormat="1" applyFont="1" applyFill="1" applyBorder="1" applyAlignment="1">
      <alignment horizontal="center" vertical="center" wrapText="1"/>
    </xf>
    <xf numFmtId="1" fontId="5" fillId="14" borderId="4" xfId="0" applyNumberFormat="1" applyFont="1" applyFill="1" applyBorder="1" applyAlignment="1">
      <alignment horizontal="center" vertical="center" wrapText="1"/>
    </xf>
    <xf numFmtId="1" fontId="7" fillId="9" borderId="12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1" fontId="7" fillId="8" borderId="12" xfId="0" applyNumberFormat="1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1" fontId="7" fillId="6" borderId="12" xfId="0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/>
    </xf>
    <xf numFmtId="0" fontId="6" fillId="6" borderId="12" xfId="1" applyFont="1" applyFill="1" applyBorder="1" applyAlignment="1" applyProtection="1">
      <alignment horizontal="center" vertical="top" wrapText="1"/>
      <protection locked="0"/>
    </xf>
    <xf numFmtId="1" fontId="7" fillId="6" borderId="2" xfId="0" applyNumberFormat="1" applyFont="1" applyFill="1" applyBorder="1" applyAlignment="1">
      <alignment horizontal="center" vertical="center" wrapText="1"/>
    </xf>
    <xf numFmtId="1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>
      <alignment horizontal="center" vertical="center"/>
    </xf>
    <xf numFmtId="1" fontId="7" fillId="6" borderId="13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left" vertical="top" wrapText="1"/>
    </xf>
    <xf numFmtId="0" fontId="22" fillId="6" borderId="12" xfId="0" applyFont="1" applyFill="1" applyBorder="1" applyAlignment="1">
      <alignment textRotation="90"/>
    </xf>
    <xf numFmtId="0" fontId="0" fillId="6" borderId="12" xfId="0" applyFill="1" applyBorder="1" applyAlignment="1">
      <alignment textRotation="90"/>
    </xf>
    <xf numFmtId="1" fontId="7" fillId="6" borderId="0" xfId="0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1" fontId="7" fillId="6" borderId="4" xfId="0" applyNumberFormat="1" applyFont="1" applyFill="1" applyBorder="1" applyAlignment="1">
      <alignment horizontal="center" vertical="center" wrapText="1"/>
    </xf>
    <xf numFmtId="1" fontId="7" fillId="6" borderId="7" xfId="0" applyNumberFormat="1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top" wrapText="1"/>
    </xf>
    <xf numFmtId="0" fontId="23" fillId="6" borderId="19" xfId="0" applyFont="1" applyFill="1" applyBorder="1" applyAlignment="1">
      <alignment horizontal="center" vertical="top" wrapText="1"/>
    </xf>
    <xf numFmtId="0" fontId="23" fillId="6" borderId="18" xfId="0" applyFont="1" applyFill="1" applyBorder="1" applyAlignment="1">
      <alignment horizontal="center" vertical="top" wrapText="1"/>
    </xf>
    <xf numFmtId="1" fontId="4" fillId="6" borderId="0" xfId="1" applyNumberFormat="1" applyFont="1" applyFill="1" applyBorder="1" applyAlignment="1" applyProtection="1">
      <alignment horizontal="center" vertical="center" wrapText="1"/>
      <protection locked="0"/>
    </xf>
    <xf numFmtId="1" fontId="5" fillId="6" borderId="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/>
    <xf numFmtId="0" fontId="0" fillId="6" borderId="0" xfId="0" applyFill="1" applyBorder="1" applyAlignment="1">
      <alignment horizontal="left" vertical="top" wrapText="1"/>
    </xf>
    <xf numFmtId="0" fontId="6" fillId="6" borderId="33" xfId="1" applyFont="1" applyFill="1" applyBorder="1" applyAlignment="1" applyProtection="1">
      <alignment horizontal="center" vertical="top" wrapText="1"/>
      <protection locked="0"/>
    </xf>
    <xf numFmtId="1" fontId="5" fillId="6" borderId="0" xfId="0" applyNumberFormat="1" applyFont="1" applyFill="1" applyBorder="1" applyAlignment="1">
      <alignment horizontal="center" vertical="center" wrapText="1"/>
    </xf>
    <xf numFmtId="1" fontId="8" fillId="6" borderId="0" xfId="0" applyNumberFormat="1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top" wrapText="1"/>
    </xf>
    <xf numFmtId="1" fontId="7" fillId="9" borderId="5" xfId="0" applyNumberFormat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1" fontId="7" fillId="13" borderId="5" xfId="0" applyNumberFormat="1" applyFont="1" applyFill="1" applyBorder="1" applyAlignment="1">
      <alignment horizontal="center" vertical="center" wrapText="1"/>
    </xf>
    <xf numFmtId="1" fontId="7" fillId="10" borderId="2" xfId="0" applyNumberFormat="1" applyFont="1" applyFill="1" applyBorder="1" applyAlignment="1">
      <alignment horizontal="center" vertical="center" wrapText="1"/>
    </xf>
    <xf numFmtId="1" fontId="7" fillId="7" borderId="2" xfId="0" applyNumberFormat="1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center" wrapText="1"/>
    </xf>
    <xf numFmtId="1" fontId="7" fillId="9" borderId="2" xfId="0" applyNumberFormat="1" applyFont="1" applyFill="1" applyBorder="1" applyAlignment="1">
      <alignment horizontal="center" vertical="center" wrapText="1"/>
    </xf>
    <xf numFmtId="1" fontId="7" fillId="10" borderId="4" xfId="0" applyNumberFormat="1" applyFont="1" applyFill="1" applyBorder="1" applyAlignment="1">
      <alignment horizontal="center" vertical="center" wrapText="1"/>
    </xf>
    <xf numFmtId="1" fontId="7" fillId="11" borderId="4" xfId="0" applyNumberFormat="1" applyFont="1" applyFill="1" applyBorder="1" applyAlignment="1">
      <alignment horizontal="center" vertical="center" wrapText="1"/>
    </xf>
    <xf numFmtId="1" fontId="7" fillId="12" borderId="4" xfId="0" applyNumberFormat="1" applyFont="1" applyFill="1" applyBorder="1" applyAlignment="1">
      <alignment horizontal="center" vertical="center" wrapText="1"/>
    </xf>
    <xf numFmtId="1" fontId="7" fillId="7" borderId="4" xfId="0" applyNumberFormat="1" applyFont="1" applyFill="1" applyBorder="1" applyAlignment="1">
      <alignment horizontal="center" vertical="center" wrapText="1"/>
    </xf>
    <xf numFmtId="1" fontId="7" fillId="8" borderId="4" xfId="0" applyNumberFormat="1" applyFont="1" applyFill="1" applyBorder="1" applyAlignment="1">
      <alignment horizontal="center" vertical="center" wrapText="1"/>
    </xf>
    <xf numFmtId="1" fontId="7" fillId="9" borderId="4" xfId="0" applyNumberFormat="1" applyFont="1" applyFill="1" applyBorder="1" applyAlignment="1">
      <alignment horizontal="center" vertical="center" wrapText="1"/>
    </xf>
    <xf numFmtId="1" fontId="7" fillId="10" borderId="12" xfId="0" applyNumberFormat="1" applyFont="1" applyFill="1" applyBorder="1" applyAlignment="1">
      <alignment horizontal="center" vertical="center" wrapText="1"/>
    </xf>
    <xf numFmtId="1" fontId="7" fillId="7" borderId="12" xfId="0" applyNumberFormat="1" applyFont="1" applyFill="1" applyBorder="1" applyAlignment="1">
      <alignment horizontal="center" vertical="center" wrapText="1"/>
    </xf>
    <xf numFmtId="1" fontId="7" fillId="8" borderId="12" xfId="0" applyNumberFormat="1" applyFont="1" applyFill="1" applyBorder="1" applyAlignment="1">
      <alignment horizontal="center" vertical="center" wrapText="1"/>
    </xf>
    <xf numFmtId="1" fontId="7" fillId="9" borderId="12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" fontId="7" fillId="13" borderId="12" xfId="0" applyNumberFormat="1" applyFont="1" applyFill="1" applyBorder="1" applyAlignment="1">
      <alignment horizontal="center" vertical="center" wrapText="1"/>
    </xf>
    <xf numFmtId="1" fontId="4" fillId="9" borderId="8" xfId="1" applyNumberFormat="1" applyFont="1" applyFill="1" applyBorder="1" applyAlignment="1" applyProtection="1">
      <alignment horizontal="center" vertical="center" wrapText="1"/>
      <protection locked="0"/>
    </xf>
    <xf numFmtId="1" fontId="7" fillId="9" borderId="20" xfId="0" applyNumberFormat="1" applyFont="1" applyFill="1" applyBorder="1" applyAlignment="1">
      <alignment horizontal="center" vertical="center"/>
    </xf>
    <xf numFmtId="1" fontId="4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7" fillId="10" borderId="7" xfId="0" applyNumberFormat="1" applyFont="1" applyFill="1" applyBorder="1" applyAlignment="1">
      <alignment horizontal="center" vertical="center" wrapText="1"/>
    </xf>
    <xf numFmtId="1" fontId="4" fillId="6" borderId="12" xfId="1" applyNumberFormat="1" applyFont="1" applyFill="1" applyBorder="1" applyAlignment="1" applyProtection="1">
      <alignment horizontal="center" vertical="center" wrapText="1"/>
      <protection locked="0"/>
    </xf>
    <xf numFmtId="1" fontId="7" fillId="15" borderId="1" xfId="0" applyNumberFormat="1" applyFont="1" applyFill="1" applyBorder="1" applyAlignment="1">
      <alignment horizontal="center" vertical="center" wrapText="1"/>
    </xf>
    <xf numFmtId="1" fontId="4" fillId="15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5" borderId="2" xfId="1" applyNumberFormat="1" applyFont="1" applyFill="1" applyBorder="1" applyAlignment="1" applyProtection="1">
      <alignment horizontal="center" vertical="center" wrapText="1"/>
      <protection locked="0"/>
    </xf>
    <xf numFmtId="1" fontId="7" fillId="15" borderId="12" xfId="0" applyNumberFormat="1" applyFont="1" applyFill="1" applyBorder="1" applyAlignment="1">
      <alignment horizontal="center" vertical="center"/>
    </xf>
    <xf numFmtId="1" fontId="7" fillId="16" borderId="1" xfId="0" applyNumberFormat="1" applyFont="1" applyFill="1" applyBorder="1" applyAlignment="1">
      <alignment horizontal="center" vertical="center" wrapText="1"/>
    </xf>
    <xf numFmtId="1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6" borderId="2" xfId="1" applyNumberFormat="1" applyFont="1" applyFill="1" applyBorder="1" applyAlignment="1" applyProtection="1">
      <alignment horizontal="center" vertical="center" wrapText="1"/>
      <protection locked="0"/>
    </xf>
    <xf numFmtId="1" fontId="7" fillId="16" borderId="12" xfId="0" applyNumberFormat="1" applyFont="1" applyFill="1" applyBorder="1" applyAlignment="1">
      <alignment horizontal="center" vertical="center"/>
    </xf>
    <xf numFmtId="1" fontId="7" fillId="17" borderId="1" xfId="0" applyNumberFormat="1" applyFont="1" applyFill="1" applyBorder="1" applyAlignment="1">
      <alignment horizontal="center" vertical="center" wrapText="1"/>
    </xf>
    <xf numFmtId="1" fontId="7" fillId="17" borderId="7" xfId="0" applyNumberFormat="1" applyFont="1" applyFill="1" applyBorder="1" applyAlignment="1">
      <alignment horizontal="center" vertical="center" wrapText="1"/>
    </xf>
    <xf numFmtId="1" fontId="7" fillId="17" borderId="31" xfId="0" applyNumberFormat="1" applyFont="1" applyFill="1" applyBorder="1" applyAlignment="1">
      <alignment horizontal="center" vertical="center" wrapText="1"/>
    </xf>
    <xf numFmtId="1" fontId="4" fillId="17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17" borderId="12" xfId="0" applyNumberFormat="1" applyFont="1" applyFill="1" applyBorder="1" applyAlignment="1">
      <alignment horizontal="center" vertical="center"/>
    </xf>
    <xf numFmtId="1" fontId="7" fillId="17" borderId="12" xfId="0" applyNumberFormat="1" applyFont="1" applyFill="1" applyBorder="1" applyAlignment="1">
      <alignment horizontal="center" vertical="center" wrapText="1"/>
    </xf>
    <xf numFmtId="1" fontId="4" fillId="9" borderId="5" xfId="1" applyNumberFormat="1" applyFont="1" applyFill="1" applyBorder="1" applyAlignment="1" applyProtection="1">
      <alignment horizontal="center" vertical="center" wrapText="1"/>
      <protection locked="0"/>
    </xf>
    <xf numFmtId="1" fontId="4" fillId="6" borderId="7" xfId="1" applyNumberFormat="1" applyFont="1" applyFill="1" applyBorder="1" applyAlignment="1" applyProtection="1">
      <alignment horizontal="center" vertical="center" wrapText="1"/>
      <protection locked="0"/>
    </xf>
    <xf numFmtId="1" fontId="5" fillId="14" borderId="2" xfId="1" applyNumberFormat="1" applyFont="1" applyFill="1" applyBorder="1" applyAlignment="1" applyProtection="1">
      <alignment horizontal="center" vertical="center" wrapText="1"/>
      <protection locked="0"/>
    </xf>
    <xf numFmtId="1" fontId="5" fillId="1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1" fontId="4" fillId="17" borderId="2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8" fillId="6" borderId="4" xfId="1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/>
    <xf numFmtId="0" fontId="1" fillId="6" borderId="12" xfId="0" applyFont="1" applyFill="1" applyBorder="1" applyAlignment="1">
      <alignment textRotation="90"/>
    </xf>
    <xf numFmtId="1" fontId="26" fillId="10" borderId="12" xfId="1" applyNumberFormat="1" applyFont="1" applyFill="1" applyBorder="1" applyAlignment="1" applyProtection="1">
      <alignment horizontal="center" textRotation="90" wrapText="1"/>
      <protection locked="0"/>
    </xf>
    <xf numFmtId="1" fontId="26" fillId="11" borderId="12" xfId="1" applyNumberFormat="1" applyFont="1" applyFill="1" applyBorder="1" applyAlignment="1" applyProtection="1">
      <alignment horizontal="center" textRotation="90" wrapText="1"/>
      <protection locked="0"/>
    </xf>
    <xf numFmtId="1" fontId="26" fillId="12" borderId="12" xfId="1" applyNumberFormat="1" applyFont="1" applyFill="1" applyBorder="1" applyAlignment="1" applyProtection="1">
      <alignment horizontal="center" textRotation="90" wrapText="1"/>
      <protection locked="0"/>
    </xf>
    <xf numFmtId="1" fontId="26" fillId="7" borderId="12" xfId="1" applyNumberFormat="1" applyFont="1" applyFill="1" applyBorder="1" applyAlignment="1" applyProtection="1">
      <alignment horizontal="center" textRotation="90" wrapText="1"/>
      <protection locked="0"/>
    </xf>
    <xf numFmtId="1" fontId="26" fillId="16" borderId="12" xfId="1" applyNumberFormat="1" applyFont="1" applyFill="1" applyBorder="1" applyAlignment="1" applyProtection="1">
      <alignment horizontal="center" textRotation="90" wrapText="1"/>
      <protection locked="0"/>
    </xf>
    <xf numFmtId="1" fontId="26" fillId="15" borderId="12" xfId="1" applyNumberFormat="1" applyFont="1" applyFill="1" applyBorder="1" applyAlignment="1" applyProtection="1">
      <alignment horizontal="center" textRotation="90" wrapText="1"/>
      <protection locked="0"/>
    </xf>
    <xf numFmtId="1" fontId="26" fillId="8" borderId="12" xfId="1" applyNumberFormat="1" applyFont="1" applyFill="1" applyBorder="1" applyAlignment="1" applyProtection="1">
      <alignment horizontal="center" textRotation="90" wrapText="1"/>
      <protection locked="0"/>
    </xf>
    <xf numFmtId="1" fontId="26" fillId="9" borderId="12" xfId="1" applyNumberFormat="1" applyFont="1" applyFill="1" applyBorder="1" applyAlignment="1" applyProtection="1">
      <alignment horizontal="center" textRotation="90" wrapText="1"/>
      <protection locked="0"/>
    </xf>
    <xf numFmtId="1" fontId="26" fillId="17" borderId="12" xfId="1" applyNumberFormat="1" applyFont="1" applyFill="1" applyBorder="1" applyAlignment="1" applyProtection="1">
      <alignment horizontal="center" textRotation="90" wrapText="1"/>
      <protection locked="0"/>
    </xf>
    <xf numFmtId="0" fontId="26" fillId="6" borderId="12" xfId="1" applyFont="1" applyFill="1" applyBorder="1" applyAlignment="1" applyProtection="1">
      <alignment horizontal="center" vertical="top" wrapText="1"/>
      <protection locked="0"/>
    </xf>
    <xf numFmtId="1" fontId="26" fillId="6" borderId="12" xfId="1" applyNumberFormat="1" applyFont="1" applyFill="1" applyBorder="1" applyAlignment="1" applyProtection="1">
      <alignment horizontal="center" textRotation="90" wrapText="1"/>
      <protection locked="0"/>
    </xf>
    <xf numFmtId="1" fontId="26" fillId="6" borderId="33" xfId="1" applyNumberFormat="1" applyFont="1" applyFill="1" applyBorder="1" applyAlignment="1" applyProtection="1">
      <alignment horizontal="center" textRotation="90" wrapText="1"/>
      <protection locked="0"/>
    </xf>
    <xf numFmtId="0" fontId="11" fillId="0" borderId="0" xfId="0" applyFont="1" applyFill="1" applyAlignment="1">
      <alignment textRotation="90"/>
    </xf>
    <xf numFmtId="0" fontId="11" fillId="0" borderId="0" xfId="0" applyFont="1" applyFill="1"/>
    <xf numFmtId="0" fontId="26" fillId="14" borderId="1" xfId="0" applyFont="1" applyFill="1" applyBorder="1" applyAlignment="1">
      <alignment vertical="center" wrapText="1"/>
    </xf>
    <xf numFmtId="0" fontId="26" fillId="13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26" fillId="14" borderId="1" xfId="1" applyFont="1" applyFill="1" applyBorder="1" applyAlignment="1" applyProtection="1">
      <alignment horizontal="left" vertical="top" wrapText="1"/>
      <protection locked="0"/>
    </xf>
    <xf numFmtId="0" fontId="27" fillId="0" borderId="1" xfId="1" applyFont="1" applyFill="1" applyBorder="1" applyAlignment="1" applyProtection="1">
      <alignment horizontal="left" vertical="top" wrapText="1"/>
      <protection locked="0"/>
    </xf>
    <xf numFmtId="0" fontId="27" fillId="0" borderId="2" xfId="1" applyFont="1" applyFill="1" applyBorder="1" applyAlignment="1" applyProtection="1">
      <alignment horizontal="left" vertical="top" wrapText="1"/>
      <protection locked="0"/>
    </xf>
    <xf numFmtId="0" fontId="27" fillId="6" borderId="4" xfId="1" applyFont="1" applyFill="1" applyBorder="1" applyAlignment="1" applyProtection="1">
      <alignment horizontal="left" vertical="top" wrapText="1"/>
      <protection locked="0"/>
    </xf>
    <xf numFmtId="0" fontId="26" fillId="6" borderId="1" xfId="1" applyFont="1" applyFill="1" applyBorder="1" applyAlignment="1" applyProtection="1">
      <alignment horizontal="left" vertical="top" wrapText="1"/>
      <protection locked="0"/>
    </xf>
    <xf numFmtId="0" fontId="27" fillId="0" borderId="1" xfId="1" applyFont="1" applyFill="1" applyBorder="1" applyAlignment="1" applyProtection="1">
      <alignment horizontal="left" vertical="center" wrapText="1"/>
      <protection locked="0"/>
    </xf>
    <xf numFmtId="0" fontId="27" fillId="6" borderId="1" xfId="1" applyFont="1" applyFill="1" applyBorder="1" applyAlignment="1" applyProtection="1">
      <alignment horizontal="left" vertical="top" wrapText="1"/>
      <protection locked="0"/>
    </xf>
    <xf numFmtId="0" fontId="27" fillId="6" borderId="0" xfId="1" applyFont="1" applyFill="1" applyBorder="1" applyAlignment="1" applyProtection="1">
      <alignment horizontal="left" vertical="top" wrapText="1"/>
      <protection locked="0"/>
    </xf>
    <xf numFmtId="0" fontId="28" fillId="0" borderId="1" xfId="1" applyFont="1" applyFill="1" applyBorder="1" applyAlignment="1" applyProtection="1">
      <alignment horizontal="left" vertical="top" wrapText="1"/>
      <protection locked="0"/>
    </xf>
    <xf numFmtId="0" fontId="26" fillId="0" borderId="1" xfId="1" applyFont="1" applyFill="1" applyBorder="1" applyAlignment="1" applyProtection="1">
      <alignment horizontal="left" vertical="top" wrapText="1"/>
      <protection locked="0"/>
    </xf>
    <xf numFmtId="0" fontId="26" fillId="0" borderId="0" xfId="1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wrapText="1"/>
    </xf>
    <xf numFmtId="0" fontId="11" fillId="0" borderId="0" xfId="0" applyFont="1" applyFill="1" applyAlignment="1">
      <alignment horizontal="left" wrapText="1"/>
    </xf>
    <xf numFmtId="1" fontId="29" fillId="14" borderId="4" xfId="0" applyNumberFormat="1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30" fillId="6" borderId="1" xfId="1" applyFont="1" applyFill="1" applyBorder="1" applyAlignment="1" applyProtection="1">
      <alignment horizontal="center" vertical="center" wrapText="1"/>
      <protection locked="0"/>
    </xf>
    <xf numFmtId="0" fontId="29" fillId="14" borderId="1" xfId="1" applyFont="1" applyFill="1" applyBorder="1" applyAlignment="1" applyProtection="1">
      <alignment horizontal="center" vertical="center" wrapText="1"/>
      <protection locked="0"/>
    </xf>
    <xf numFmtId="0" fontId="30" fillId="0" borderId="1" xfId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>
      <alignment horizontal="center"/>
    </xf>
    <xf numFmtId="1" fontId="3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0" fillId="14" borderId="1" xfId="1" applyFont="1" applyFill="1" applyBorder="1" applyAlignment="1" applyProtection="1">
      <alignment horizontal="center" vertical="center" wrapText="1"/>
      <protection locked="0"/>
    </xf>
    <xf numFmtId="0" fontId="29" fillId="14" borderId="2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/>
    <xf numFmtId="0" fontId="31" fillId="14" borderId="1" xfId="1" applyFont="1" applyFill="1" applyBorder="1" applyAlignment="1" applyProtection="1">
      <alignment horizontal="center" vertical="center" wrapText="1"/>
      <protection locked="0"/>
    </xf>
    <xf numFmtId="0" fontId="3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/>
    <xf numFmtId="0" fontId="30" fillId="6" borderId="4" xfId="1" applyFont="1" applyFill="1" applyBorder="1" applyAlignment="1" applyProtection="1">
      <alignment horizontal="center" vertical="center" wrapText="1"/>
      <protection locked="0"/>
    </xf>
    <xf numFmtId="0" fontId="31" fillId="0" borderId="7" xfId="1" applyFont="1" applyFill="1" applyBorder="1" applyAlignment="1" applyProtection="1">
      <alignment horizontal="center" vertical="center" wrapText="1"/>
      <protection locked="0"/>
    </xf>
    <xf numFmtId="0" fontId="30" fillId="6" borderId="0" xfId="1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26" fillId="4" borderId="12" xfId="1" applyNumberFormat="1" applyFont="1" applyFill="1" applyBorder="1" applyAlignment="1" applyProtection="1">
      <alignment horizontal="center" textRotation="90" wrapText="1"/>
      <protection locked="0"/>
    </xf>
    <xf numFmtId="2" fontId="5" fillId="14" borderId="4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2" fontId="7" fillId="13" borderId="12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14" borderId="1" xfId="0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2" fontId="7" fillId="4" borderId="12" xfId="0" applyNumberFormat="1" applyFont="1" applyFill="1" applyBorder="1" applyAlignment="1">
      <alignment horizontal="center" vertical="center"/>
    </xf>
    <xf numFmtId="2" fontId="4" fillId="6" borderId="4" xfId="1" applyNumberFormat="1" applyFont="1" applyFill="1" applyBorder="1" applyAlignment="1" applyProtection="1">
      <alignment horizontal="center" vertical="center" wrapText="1"/>
      <protection locked="0"/>
    </xf>
    <xf numFmtId="2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14" borderId="1" xfId="0" applyNumberFormat="1" applyFont="1" applyFill="1" applyBorder="1" applyAlignment="1">
      <alignment horizontal="center" vertical="center" wrapText="1"/>
    </xf>
    <xf numFmtId="2" fontId="5" fillId="14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2" fontId="7" fillId="0" borderId="0" xfId="0" applyNumberFormat="1" applyFont="1" applyFill="1" applyBorder="1"/>
    <xf numFmtId="1" fontId="6" fillId="10" borderId="12" xfId="1" applyNumberFormat="1" applyFont="1" applyFill="1" applyBorder="1" applyAlignment="1" applyProtection="1">
      <alignment horizontal="center" textRotation="90" wrapText="1"/>
      <protection locked="0"/>
    </xf>
    <xf numFmtId="2" fontId="6" fillId="4" borderId="12" xfId="1" applyNumberFormat="1" applyFont="1" applyFill="1" applyBorder="1" applyAlignment="1" applyProtection="1">
      <alignment horizontal="center" textRotation="90" wrapText="1"/>
      <protection locked="0"/>
    </xf>
    <xf numFmtId="1" fontId="6" fillId="11" borderId="12" xfId="1" applyNumberFormat="1" applyFont="1" applyFill="1" applyBorder="1" applyAlignment="1" applyProtection="1">
      <alignment horizontal="center" textRotation="90" wrapText="1"/>
      <protection locked="0"/>
    </xf>
    <xf numFmtId="1" fontId="6" fillId="12" borderId="12" xfId="1" applyNumberFormat="1" applyFont="1" applyFill="1" applyBorder="1" applyAlignment="1" applyProtection="1">
      <alignment horizontal="center" textRotation="90" wrapText="1"/>
      <protection locked="0"/>
    </xf>
    <xf numFmtId="1" fontId="6" fillId="7" borderId="12" xfId="1" applyNumberFormat="1" applyFont="1" applyFill="1" applyBorder="1" applyAlignment="1" applyProtection="1">
      <alignment horizontal="center" textRotation="90" wrapText="1"/>
      <protection locked="0"/>
    </xf>
    <xf numFmtId="1" fontId="6" fillId="16" borderId="12" xfId="1" applyNumberFormat="1" applyFont="1" applyFill="1" applyBorder="1" applyAlignment="1" applyProtection="1">
      <alignment horizontal="center" textRotation="90" wrapText="1"/>
      <protection locked="0"/>
    </xf>
    <xf numFmtId="1" fontId="6" fillId="15" borderId="12" xfId="1" applyNumberFormat="1" applyFont="1" applyFill="1" applyBorder="1" applyAlignment="1" applyProtection="1">
      <alignment horizontal="center" textRotation="90" wrapText="1"/>
      <protection locked="0"/>
    </xf>
    <xf numFmtId="1" fontId="6" fillId="8" borderId="12" xfId="1" applyNumberFormat="1" applyFont="1" applyFill="1" applyBorder="1" applyAlignment="1" applyProtection="1">
      <alignment horizontal="center" textRotation="90" wrapText="1"/>
      <protection locked="0"/>
    </xf>
    <xf numFmtId="1" fontId="6" fillId="9" borderId="12" xfId="1" applyNumberFormat="1" applyFont="1" applyFill="1" applyBorder="1" applyAlignment="1" applyProtection="1">
      <alignment horizontal="center" textRotation="90" wrapText="1"/>
      <protection locked="0"/>
    </xf>
    <xf numFmtId="1" fontId="6" fillId="17" borderId="12" xfId="1" applyNumberFormat="1" applyFont="1" applyFill="1" applyBorder="1" applyAlignment="1" applyProtection="1">
      <alignment horizontal="center" textRotation="90" wrapText="1"/>
      <protection locked="0"/>
    </xf>
    <xf numFmtId="1" fontId="24" fillId="14" borderId="1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top" wrapText="1"/>
      <protection locked="0"/>
    </xf>
    <xf numFmtId="0" fontId="6" fillId="13" borderId="5" xfId="1" applyFont="1" applyFill="1" applyBorder="1" applyAlignment="1" applyProtection="1">
      <alignment horizontal="left" vertical="top" wrapText="1"/>
      <protection locked="0"/>
    </xf>
    <xf numFmtId="1" fontId="5" fillId="13" borderId="7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vertical="center" wrapText="1"/>
    </xf>
    <xf numFmtId="0" fontId="26" fillId="13" borderId="12" xfId="0" applyFont="1" applyFill="1" applyBorder="1" applyAlignment="1">
      <alignment vertical="center" wrapText="1"/>
    </xf>
    <xf numFmtId="0" fontId="30" fillId="13" borderId="12" xfId="0" applyFont="1" applyFill="1" applyBorder="1" applyAlignment="1">
      <alignment horizontal="center" vertical="top" wrapText="1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1" applyNumberFormat="1" applyFont="1" applyFill="1" applyBorder="1" applyAlignment="1" applyProtection="1">
      <alignment horizontal="left" vertical="top" wrapText="1"/>
      <protection locked="0"/>
    </xf>
    <xf numFmtId="2" fontId="26" fillId="0" borderId="0" xfId="1" applyNumberFormat="1" applyFont="1" applyFill="1" applyBorder="1" applyAlignment="1" applyProtection="1">
      <alignment horizontal="left" vertical="top" wrapText="1"/>
      <protection locked="0"/>
    </xf>
    <xf numFmtId="2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30" fillId="0" borderId="12" xfId="1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/>
    <xf numFmtId="0" fontId="22" fillId="0" borderId="12" xfId="0" applyFont="1" applyFill="1" applyBorder="1" applyAlignment="1"/>
    <xf numFmtId="0" fontId="30" fillId="0" borderId="2" xfId="1" applyFont="1" applyFill="1" applyBorder="1" applyAlignment="1" applyProtection="1">
      <alignment horizontal="center" vertical="center" wrapText="1"/>
      <protection locked="0"/>
    </xf>
    <xf numFmtId="0" fontId="30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/>
    <xf numFmtId="0" fontId="7" fillId="0" borderId="0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1" fontId="4" fillId="17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17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>
      <alignment textRotation="90"/>
    </xf>
    <xf numFmtId="0" fontId="27" fillId="0" borderId="5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shrinkToFit="1"/>
    </xf>
    <xf numFmtId="2" fontId="7" fillId="11" borderId="1" xfId="0" applyNumberFormat="1" applyFont="1" applyFill="1" applyBorder="1" applyAlignment="1">
      <alignment horizontal="center" vertical="center" wrapText="1"/>
    </xf>
    <xf numFmtId="2" fontId="7" fillId="11" borderId="4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shrinkToFit="1"/>
    </xf>
    <xf numFmtId="0" fontId="7" fillId="0" borderId="0" xfId="0" applyFont="1" applyBorder="1" applyAlignment="1">
      <alignment wrapText="1" shrinkToFit="1"/>
    </xf>
    <xf numFmtId="0" fontId="22" fillId="0" borderId="0" xfId="0" applyFont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" fontId="8" fillId="17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22" fillId="0" borderId="36" xfId="0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1" fontId="21" fillId="0" borderId="38" xfId="0" applyNumberFormat="1" applyFont="1" applyBorder="1" applyAlignment="1">
      <alignment horizontal="center" vertical="center" wrapText="1"/>
    </xf>
    <xf numFmtId="1" fontId="35" fillId="0" borderId="38" xfId="0" applyNumberFormat="1" applyFont="1" applyBorder="1" applyAlignment="1">
      <alignment horizontal="center" vertical="center" wrapText="1"/>
    </xf>
    <xf numFmtId="1" fontId="22" fillId="0" borderId="38" xfId="0" applyNumberFormat="1" applyFont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center" wrapText="1"/>
    </xf>
    <xf numFmtId="1" fontId="35" fillId="0" borderId="37" xfId="0" applyNumberFormat="1" applyFont="1" applyBorder="1" applyAlignment="1">
      <alignment horizontal="center" vertical="center" wrapText="1"/>
    </xf>
    <xf numFmtId="1" fontId="22" fillId="0" borderId="37" xfId="0" applyNumberFormat="1" applyFont="1" applyBorder="1" applyAlignment="1">
      <alignment horizontal="center" vertical="center" wrapText="1"/>
    </xf>
    <xf numFmtId="1" fontId="7" fillId="0" borderId="37" xfId="0" applyNumberFormat="1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6" fillId="0" borderId="38" xfId="4" applyFont="1" applyBorder="1" applyAlignment="1" applyProtection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6" fillId="0" borderId="37" xfId="4" applyFont="1" applyBorder="1" applyAlignment="1" applyProtection="1">
      <alignment horizontal="center" vertical="center" wrapText="1"/>
    </xf>
    <xf numFmtId="1" fontId="22" fillId="0" borderId="41" xfId="0" applyNumberFormat="1" applyFont="1" applyBorder="1" applyAlignment="1">
      <alignment horizontal="center" vertical="center" wrapText="1"/>
    </xf>
    <xf numFmtId="1" fontId="22" fillId="0" borderId="42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shrinkToFi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43" xfId="0" applyNumberFormat="1" applyFont="1" applyBorder="1" applyAlignment="1">
      <alignment horizontal="center" vertical="center" wrapText="1"/>
    </xf>
    <xf numFmtId="0" fontId="36" fillId="0" borderId="44" xfId="4" applyFont="1" applyBorder="1" applyAlignment="1" applyProtection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1" fontId="35" fillId="0" borderId="40" xfId="0" applyNumberFormat="1" applyFont="1" applyBorder="1" applyAlignment="1">
      <alignment horizontal="center" vertical="center" wrapText="1"/>
    </xf>
    <xf numFmtId="1" fontId="35" fillId="0" borderId="44" xfId="0" applyNumberFormat="1" applyFont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wrapText="1" shrinkToFit="1"/>
    </xf>
    <xf numFmtId="1" fontId="7" fillId="0" borderId="17" xfId="0" applyNumberFormat="1" applyFont="1" applyBorder="1" applyAlignment="1">
      <alignment horizontal="center" vertical="center" wrapText="1"/>
    </xf>
    <xf numFmtId="1" fontId="22" fillId="0" borderId="51" xfId="0" applyNumberFormat="1" applyFont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wrapText="1" shrinkToFit="1"/>
    </xf>
    <xf numFmtId="0" fontId="22" fillId="0" borderId="19" xfId="0" applyFont="1" applyBorder="1" applyAlignment="1">
      <alignment wrapText="1" shrinkToFit="1"/>
    </xf>
    <xf numFmtId="0" fontId="7" fillId="0" borderId="19" xfId="0" applyFont="1" applyBorder="1" applyAlignment="1">
      <alignment wrapText="1" shrinkToFit="1"/>
    </xf>
    <xf numFmtId="0" fontId="22" fillId="0" borderId="43" xfId="0" applyFont="1" applyBorder="1" applyAlignment="1">
      <alignment shrinkToFit="1"/>
    </xf>
    <xf numFmtId="0" fontId="22" fillId="0" borderId="36" xfId="0" applyFont="1" applyBorder="1" applyAlignment="1">
      <alignment shrinkToFit="1"/>
    </xf>
    <xf numFmtId="0" fontId="7" fillId="0" borderId="36" xfId="0" applyFont="1" applyBorder="1" applyAlignment="1">
      <alignment shrinkToFit="1"/>
    </xf>
    <xf numFmtId="0" fontId="7" fillId="0" borderId="46" xfId="0" applyFont="1" applyBorder="1" applyAlignment="1">
      <alignment shrinkToFit="1"/>
    </xf>
    <xf numFmtId="0" fontId="7" fillId="0" borderId="52" xfId="0" applyFont="1" applyBorder="1" applyAlignment="1">
      <alignment wrapText="1" shrinkToFit="1"/>
    </xf>
    <xf numFmtId="1" fontId="7" fillId="0" borderId="40" xfId="0" applyNumberFormat="1" applyFont="1" applyBorder="1" applyAlignment="1">
      <alignment horizontal="center" vertical="center" wrapText="1"/>
    </xf>
    <xf numFmtId="1" fontId="7" fillId="0" borderId="48" xfId="0" applyNumberFormat="1" applyFont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" fontId="7" fillId="0" borderId="46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shrinkToFit="1"/>
    </xf>
    <xf numFmtId="1" fontId="7" fillId="0" borderId="23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wrapText="1" shrinkToFit="1"/>
    </xf>
    <xf numFmtId="0" fontId="7" fillId="0" borderId="46" xfId="0" applyFont="1" applyBorder="1" applyAlignment="1">
      <alignment wrapText="1" shrinkToFit="1"/>
    </xf>
    <xf numFmtId="0" fontId="22" fillId="0" borderId="43" xfId="0" applyFont="1" applyBorder="1" applyAlignment="1">
      <alignment wrapText="1" shrinkToFit="1"/>
    </xf>
    <xf numFmtId="1" fontId="7" fillId="0" borderId="5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 shrinkToFit="1"/>
    </xf>
    <xf numFmtId="0" fontId="7" fillId="0" borderId="40" xfId="0" applyFont="1" applyBorder="1" applyAlignment="1">
      <alignment wrapText="1" shrinkToFit="1"/>
    </xf>
    <xf numFmtId="0" fontId="22" fillId="0" borderId="42" xfId="0" applyFont="1" applyBorder="1" applyAlignment="1">
      <alignment wrapText="1" shrinkToFit="1"/>
    </xf>
    <xf numFmtId="0" fontId="22" fillId="0" borderId="53" xfId="0" applyFont="1" applyBorder="1" applyAlignment="1">
      <alignment shrinkToFi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52" xfId="0" applyNumberFormat="1" applyFont="1" applyBorder="1" applyAlignment="1">
      <alignment horizontal="center" vertical="center" wrapText="1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54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2" fillId="0" borderId="55" xfId="0" applyFont="1" applyBorder="1" applyAlignment="1">
      <alignment shrinkToFit="1"/>
    </xf>
    <xf numFmtId="1" fontId="22" fillId="0" borderId="56" xfId="0" applyNumberFormat="1" applyFont="1" applyBorder="1" applyAlignment="1">
      <alignment horizontal="center" vertical="center" wrapText="1"/>
    </xf>
    <xf numFmtId="1" fontId="22" fillId="0" borderId="57" xfId="0" applyNumberFormat="1" applyFont="1" applyBorder="1" applyAlignment="1">
      <alignment horizontal="center" vertical="center" wrapText="1"/>
    </xf>
    <xf numFmtId="1" fontId="7" fillId="0" borderId="58" xfId="0" applyNumberFormat="1" applyFont="1" applyBorder="1" applyAlignment="1">
      <alignment horizontal="center" vertical="center" wrapText="1"/>
    </xf>
    <xf numFmtId="1" fontId="22" fillId="0" borderId="59" xfId="0" applyNumberFormat="1" applyFont="1" applyBorder="1" applyAlignment="1">
      <alignment horizontal="center" vertical="center" wrapText="1"/>
    </xf>
    <xf numFmtId="0" fontId="22" fillId="0" borderId="57" xfId="0" applyFont="1" applyBorder="1" applyAlignment="1">
      <alignment wrapText="1" shrinkToFit="1"/>
    </xf>
    <xf numFmtId="0" fontId="7" fillId="0" borderId="60" xfId="0" applyFont="1" applyBorder="1" applyAlignment="1">
      <alignment wrapText="1" shrinkToFit="1"/>
    </xf>
    <xf numFmtId="0" fontId="22" fillId="0" borderId="61" xfId="0" applyFont="1" applyBorder="1" applyAlignment="1">
      <alignment wrapText="1" shrinkToFit="1"/>
    </xf>
    <xf numFmtId="0" fontId="7" fillId="0" borderId="42" xfId="0" applyFont="1" applyBorder="1" applyAlignment="1">
      <alignment wrapText="1" shrinkToFit="1"/>
    </xf>
    <xf numFmtId="0" fontId="7" fillId="0" borderId="50" xfId="0" applyFont="1" applyBorder="1" applyAlignment="1">
      <alignment shrinkToFit="1"/>
    </xf>
    <xf numFmtId="0" fontId="22" fillId="0" borderId="49" xfId="0" applyFont="1" applyBorder="1" applyAlignment="1">
      <alignment shrinkToFit="1"/>
    </xf>
    <xf numFmtId="0" fontId="7" fillId="0" borderId="43" xfId="0" applyFont="1" applyBorder="1" applyAlignment="1">
      <alignment shrinkToFit="1"/>
    </xf>
    <xf numFmtId="1" fontId="7" fillId="0" borderId="50" xfId="0" applyNumberFormat="1" applyFont="1" applyBorder="1" applyAlignment="1">
      <alignment horizontal="center" vertical="center" wrapText="1"/>
    </xf>
    <xf numFmtId="1" fontId="7" fillId="0" borderId="43" xfId="0" applyNumberFormat="1" applyFont="1" applyBorder="1" applyAlignment="1">
      <alignment horizontal="center" vertical="center" wrapText="1"/>
    </xf>
    <xf numFmtId="1" fontId="7" fillId="0" borderId="62" xfId="0" applyNumberFormat="1" applyFont="1" applyBorder="1" applyAlignment="1">
      <alignment horizontal="center" vertical="center" wrapText="1"/>
    </xf>
    <xf numFmtId="1" fontId="22" fillId="0" borderId="49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" fontId="22" fillId="0" borderId="61" xfId="0" applyNumberFormat="1" applyFont="1" applyBorder="1" applyAlignment="1">
      <alignment horizontal="center" vertical="center" wrapText="1"/>
    </xf>
    <xf numFmtId="1" fontId="7" fillId="0" borderId="54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shrinkToFit="1"/>
    </xf>
    <xf numFmtId="1" fontId="22" fillId="0" borderId="50" xfId="0" applyNumberFormat="1" applyFont="1" applyBorder="1" applyAlignment="1">
      <alignment horizontal="center" vertical="center" wrapText="1"/>
    </xf>
    <xf numFmtId="1" fontId="22" fillId="0" borderId="58" xfId="0" applyNumberFormat="1" applyFont="1" applyBorder="1" applyAlignment="1">
      <alignment horizontal="center" vertical="center" wrapText="1"/>
    </xf>
    <xf numFmtId="1" fontId="22" fillId="0" borderId="21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22" xfId="0" applyFont="1" applyBorder="1" applyAlignment="1">
      <alignment shrinkToFit="1"/>
    </xf>
    <xf numFmtId="1" fontId="22" fillId="0" borderId="47" xfId="0" applyNumberFormat="1" applyFont="1" applyBorder="1" applyAlignment="1">
      <alignment horizontal="center" vertical="center" wrapText="1"/>
    </xf>
    <xf numFmtId="1" fontId="22" fillId="0" borderId="16" xfId="0" applyNumberFormat="1" applyFont="1" applyBorder="1" applyAlignment="1">
      <alignment horizontal="center" vertical="center" wrapText="1"/>
    </xf>
    <xf numFmtId="1" fontId="22" fillId="0" borderId="22" xfId="0" applyNumberFormat="1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wrapText="1" shrinkToFit="1"/>
    </xf>
    <xf numFmtId="1" fontId="7" fillId="0" borderId="47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0" fontId="22" fillId="0" borderId="63" xfId="0" applyFont="1" applyBorder="1" applyAlignment="1">
      <alignment shrinkToFit="1"/>
    </xf>
    <xf numFmtId="0" fontId="22" fillId="0" borderId="64" xfId="0" applyFont="1" applyBorder="1" applyAlignment="1">
      <alignment horizontal="center" vertical="center" wrapText="1"/>
    </xf>
    <xf numFmtId="1" fontId="22" fillId="0" borderId="60" xfId="0" applyNumberFormat="1" applyFont="1" applyBorder="1" applyAlignment="1">
      <alignment horizontal="center" vertical="center" wrapText="1"/>
    </xf>
    <xf numFmtId="0" fontId="22" fillId="0" borderId="50" xfId="0" applyFont="1" applyBorder="1" applyAlignment="1">
      <alignment wrapText="1" shrinkToFit="1"/>
    </xf>
    <xf numFmtId="0" fontId="22" fillId="0" borderId="47" xfId="0" applyFont="1" applyBorder="1" applyAlignment="1">
      <alignment wrapText="1" shrinkToFit="1"/>
    </xf>
    <xf numFmtId="0" fontId="7" fillId="0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38" fillId="0" borderId="0" xfId="0" applyFont="1" applyAlignment="1">
      <alignment horizontal="left" vertical="center" indent="4"/>
    </xf>
    <xf numFmtId="0" fontId="0" fillId="0" borderId="0" xfId="0" applyFont="1"/>
    <xf numFmtId="0" fontId="22" fillId="0" borderId="20" xfId="0" applyFont="1" applyFill="1" applyBorder="1" applyAlignment="1"/>
    <xf numFmtId="0" fontId="22" fillId="0" borderId="18" xfId="0" applyFont="1" applyFill="1" applyBorder="1" applyAlignment="1"/>
    <xf numFmtId="0" fontId="7" fillId="0" borderId="20" xfId="0" applyFont="1" applyFill="1" applyBorder="1" applyAlignment="1"/>
    <xf numFmtId="0" fontId="7" fillId="0" borderId="18" xfId="0" applyFont="1" applyFill="1" applyBorder="1" applyAlignment="1"/>
    <xf numFmtId="0" fontId="30" fillId="0" borderId="2" xfId="1" applyFont="1" applyFill="1" applyBorder="1" applyAlignment="1" applyProtection="1">
      <alignment horizontal="center" vertical="center" wrapText="1"/>
      <protection locked="0"/>
    </xf>
    <xf numFmtId="0" fontId="30" fillId="0" borderId="4" xfId="1" applyFont="1" applyFill="1" applyBorder="1" applyAlignment="1" applyProtection="1">
      <alignment horizontal="center" vertical="center" wrapText="1"/>
      <protection locked="0"/>
    </xf>
    <xf numFmtId="1" fontId="4" fillId="17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17" borderId="4" xfId="1" applyNumberFormat="1" applyFont="1" applyFill="1" applyBorder="1" applyAlignment="1" applyProtection="1">
      <alignment horizontal="center" vertical="center" wrapText="1"/>
      <protection locked="0"/>
    </xf>
    <xf numFmtId="1" fontId="7" fillId="17" borderId="2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>
      <alignment horizontal="center" vertical="center" wrapText="1"/>
    </xf>
    <xf numFmtId="0" fontId="30" fillId="0" borderId="12" xfId="1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 vertical="center" wrapText="1"/>
    </xf>
    <xf numFmtId="1" fontId="4" fillId="17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8" fillId="17" borderId="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>
      <alignment horizontal="center" vertical="center" wrapText="1"/>
    </xf>
    <xf numFmtId="0" fontId="6" fillId="0" borderId="20" xfId="1" applyFont="1" applyFill="1" applyBorder="1" applyAlignment="1" applyProtection="1">
      <alignment horizontal="center" vertical="top" wrapText="1"/>
      <protection locked="0"/>
    </xf>
    <xf numFmtId="0" fontId="6" fillId="0" borderId="19" xfId="1" applyFont="1" applyFill="1" applyBorder="1" applyAlignment="1" applyProtection="1">
      <alignment horizontal="center" vertical="top" wrapText="1"/>
      <protection locked="0"/>
    </xf>
    <xf numFmtId="0" fontId="0" fillId="0" borderId="18" xfId="0" applyBorder="1" applyAlignment="1">
      <alignment horizontal="center" vertical="top" wrapText="1"/>
    </xf>
    <xf numFmtId="0" fontId="6" fillId="0" borderId="24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0" fillId="0" borderId="23" xfId="0" applyBorder="1" applyAlignment="1">
      <alignment horizontal="center" vertical="top" wrapText="1"/>
    </xf>
    <xf numFmtId="0" fontId="22" fillId="0" borderId="21" xfId="0" applyFont="1" applyFill="1" applyBorder="1" applyAlignment="1">
      <alignment textRotation="90"/>
    </xf>
    <xf numFmtId="0" fontId="22" fillId="0" borderId="35" xfId="0" applyFont="1" applyFill="1" applyBorder="1" applyAlignment="1">
      <alignment textRotation="90"/>
    </xf>
    <xf numFmtId="0" fontId="22" fillId="0" borderId="2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6" fillId="0" borderId="12" xfId="1" applyFont="1" applyFill="1" applyBorder="1" applyAlignment="1" applyProtection="1">
      <alignment horizontal="left" textRotation="90" wrapText="1"/>
      <protection locked="0"/>
    </xf>
    <xf numFmtId="0" fontId="6" fillId="0" borderId="21" xfId="1" applyFont="1" applyFill="1" applyBorder="1" applyAlignment="1" applyProtection="1">
      <alignment horizontal="left" textRotation="90" wrapText="1"/>
      <protection locked="0"/>
    </xf>
    <xf numFmtId="0" fontId="6" fillId="0" borderId="17" xfId="1" applyFont="1" applyFill="1" applyBorder="1" applyAlignment="1" applyProtection="1">
      <alignment horizontal="left" textRotation="90" wrapText="1"/>
      <protection locked="0"/>
    </xf>
    <xf numFmtId="0" fontId="0" fillId="0" borderId="12" xfId="0" applyBorder="1" applyAlignment="1">
      <alignment horizontal="left" textRotation="90" wrapText="1"/>
    </xf>
    <xf numFmtId="0" fontId="6" fillId="0" borderId="2" xfId="1" applyFont="1" applyFill="1" applyBorder="1" applyAlignment="1" applyProtection="1">
      <alignment horizontal="left" wrapText="1"/>
      <protection locked="0"/>
    </xf>
    <xf numFmtId="0" fontId="7" fillId="0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6" fillId="0" borderId="8" xfId="1" applyFont="1" applyFill="1" applyBorder="1" applyAlignment="1" applyProtection="1">
      <alignment horizontal="left" wrapText="1"/>
      <protection locked="0"/>
    </xf>
    <xf numFmtId="0" fontId="11" fillId="0" borderId="32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9" fillId="0" borderId="12" xfId="1" applyFont="1" applyFill="1" applyBorder="1" applyAlignment="1" applyProtection="1">
      <alignment horizontal="left" textRotation="90" wrapText="1"/>
      <protection locked="0"/>
    </xf>
    <xf numFmtId="0" fontId="21" fillId="0" borderId="12" xfId="0" applyFont="1" applyFill="1" applyBorder="1" applyAlignment="1">
      <alignment horizontal="left" textRotation="90" wrapText="1"/>
    </xf>
    <xf numFmtId="0" fontId="18" fillId="0" borderId="12" xfId="0" applyFont="1" applyBorder="1" applyAlignment="1">
      <alignment horizontal="left" textRotation="90" wrapText="1"/>
    </xf>
    <xf numFmtId="0" fontId="33" fillId="0" borderId="12" xfId="0" applyFont="1" applyBorder="1" applyAlignment="1">
      <alignment horizontal="justify" textRotation="90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12" xfId="0" applyFont="1" applyFill="1" applyBorder="1" applyAlignment="1">
      <alignment horizontal="left" textRotation="90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20" xfId="1" applyFont="1" applyFill="1" applyBorder="1" applyAlignment="1" applyProtection="1">
      <alignment horizontal="left" vertical="top" wrapText="1"/>
      <protection locked="0"/>
    </xf>
    <xf numFmtId="0" fontId="6" fillId="0" borderId="19" xfId="1" applyFont="1" applyFill="1" applyBorder="1" applyAlignment="1" applyProtection="1">
      <alignment horizontal="left" vertical="top" wrapText="1"/>
      <protection locked="0"/>
    </xf>
    <xf numFmtId="0" fontId="6" fillId="0" borderId="18" xfId="1" applyFont="1" applyFill="1" applyBorder="1" applyAlignment="1" applyProtection="1">
      <alignment horizontal="left" vertical="top" wrapText="1"/>
      <protection locked="0"/>
    </xf>
    <xf numFmtId="1" fontId="7" fillId="0" borderId="62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33" fillId="0" borderId="36" xfId="0" applyFont="1" applyBorder="1" applyAlignment="1">
      <alignment horizontal="justify" textRotation="90" wrapText="1"/>
    </xf>
    <xf numFmtId="0" fontId="33" fillId="0" borderId="46" xfId="0" applyFont="1" applyBorder="1" applyAlignment="1">
      <alignment horizontal="justify" textRotation="90" wrapText="1"/>
    </xf>
    <xf numFmtId="0" fontId="33" fillId="0" borderId="19" xfId="0" applyFont="1" applyBorder="1" applyAlignment="1">
      <alignment horizontal="justify" wrapText="1"/>
    </xf>
    <xf numFmtId="0" fontId="33" fillId="0" borderId="52" xfId="0" applyFont="1" applyBorder="1" applyAlignment="1">
      <alignment horizontal="justify" wrapText="1"/>
    </xf>
    <xf numFmtId="0" fontId="26" fillId="0" borderId="51" xfId="4" applyFont="1" applyBorder="1" applyAlignment="1" applyProtection="1">
      <alignment horizontal="center" textRotation="90" wrapText="1"/>
    </xf>
    <xf numFmtId="0" fontId="26" fillId="0" borderId="38" xfId="4" applyFont="1" applyBorder="1" applyAlignment="1" applyProtection="1">
      <alignment horizontal="center" textRotation="90" wrapText="1"/>
    </xf>
    <xf numFmtId="0" fontId="26" fillId="0" borderId="44" xfId="4" applyFont="1" applyBorder="1" applyAlignment="1" applyProtection="1">
      <alignment horizontal="center" textRotation="90" wrapText="1"/>
    </xf>
    <xf numFmtId="0" fontId="33" fillId="0" borderId="37" xfId="0" applyFont="1" applyBorder="1" applyAlignment="1">
      <alignment horizontal="center" textRotation="90" wrapText="1"/>
    </xf>
    <xf numFmtId="0" fontId="33" fillId="0" borderId="40" xfId="0" applyFont="1" applyBorder="1" applyAlignment="1">
      <alignment horizontal="center" textRotation="90" wrapText="1"/>
    </xf>
    <xf numFmtId="0" fontId="33" fillId="0" borderId="18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36" xfId="0" applyFont="1" applyBorder="1" applyAlignment="1">
      <alignment horizontal="center" wrapText="1"/>
    </xf>
    <xf numFmtId="0" fontId="33" fillId="0" borderId="12" xfId="0" applyFont="1" applyBorder="1" applyAlignment="1">
      <alignment horizontal="center" textRotation="90" wrapText="1"/>
    </xf>
    <xf numFmtId="0" fontId="33" fillId="0" borderId="45" xfId="0" applyFont="1" applyBorder="1" applyAlignment="1">
      <alignment horizontal="center" textRotation="90" wrapText="1"/>
    </xf>
    <xf numFmtId="0" fontId="33" fillId="0" borderId="18" xfId="0" applyFont="1" applyBorder="1" applyAlignment="1">
      <alignment horizontal="center" textRotation="90" wrapText="1"/>
    </xf>
    <xf numFmtId="0" fontId="33" fillId="0" borderId="48" xfId="0" applyFont="1" applyBorder="1" applyAlignment="1">
      <alignment horizontal="center" textRotation="90" wrapText="1"/>
    </xf>
    <xf numFmtId="0" fontId="33" fillId="0" borderId="39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wrapText="1"/>
    </xf>
    <xf numFmtId="0" fontId="37" fillId="0" borderId="12" xfId="4" applyFont="1" applyBorder="1" applyAlignment="1" applyProtection="1">
      <alignment horizontal="center" wrapText="1"/>
    </xf>
    <xf numFmtId="0" fontId="30" fillId="0" borderId="36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wrapText="1"/>
    </xf>
    <xf numFmtId="0" fontId="33" fillId="0" borderId="36" xfId="0" applyFont="1" applyBorder="1" applyAlignment="1">
      <alignment horizontal="center" textRotation="90" wrapText="1"/>
    </xf>
    <xf numFmtId="0" fontId="33" fillId="0" borderId="46" xfId="0" applyFont="1" applyBorder="1" applyAlignment="1">
      <alignment horizontal="center" textRotation="90" wrapText="1"/>
    </xf>
    <xf numFmtId="0" fontId="19" fillId="0" borderId="12" xfId="2" applyFont="1" applyBorder="1" applyAlignment="1">
      <alignment horizontal="center" vertical="center" textRotation="90"/>
    </xf>
    <xf numFmtId="0" fontId="7" fillId="0" borderId="24" xfId="2" applyFont="1" applyBorder="1" applyAlignment="1">
      <alignment vertical="center" wrapText="1"/>
    </xf>
    <xf numFmtId="0" fontId="25" fillId="0" borderId="13" xfId="2" applyFont="1" applyBorder="1" applyAlignment="1">
      <alignment wrapText="1"/>
    </xf>
    <xf numFmtId="0" fontId="25" fillId="0" borderId="23" xfId="2" applyFont="1" applyBorder="1" applyAlignment="1">
      <alignment wrapText="1"/>
    </xf>
    <xf numFmtId="0" fontId="20" fillId="0" borderId="20" xfId="2" applyFont="1" applyBorder="1" applyAlignment="1">
      <alignment horizontal="center" vertical="center"/>
    </xf>
    <xf numFmtId="0" fontId="9" fillId="0" borderId="19" xfId="2" applyBorder="1" applyAlignment="1">
      <alignment horizontal="center" vertical="center"/>
    </xf>
    <xf numFmtId="0" fontId="9" fillId="0" borderId="18" xfId="2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left"/>
    </xf>
    <xf numFmtId="0" fontId="10" fillId="0" borderId="12" xfId="3" applyFont="1" applyFill="1" applyBorder="1" applyAlignment="1">
      <alignment horizontal="left"/>
    </xf>
    <xf numFmtId="0" fontId="12" fillId="0" borderId="12" xfId="2" applyFont="1" applyBorder="1" applyAlignment="1">
      <alignment horizontal="left"/>
    </xf>
    <xf numFmtId="0" fontId="9" fillId="0" borderId="12" xfId="2" applyBorder="1" applyAlignment="1">
      <alignment horizontal="left"/>
    </xf>
    <xf numFmtId="0" fontId="10" fillId="0" borderId="12" xfId="3" applyFill="1" applyBorder="1" applyAlignment="1">
      <alignment horizontal="left"/>
    </xf>
    <xf numFmtId="0" fontId="20" fillId="0" borderId="21" xfId="2" applyFont="1" applyBorder="1" applyAlignment="1">
      <alignment horizontal="center" vertical="center"/>
    </xf>
    <xf numFmtId="0" fontId="9" fillId="0" borderId="21" xfId="2" applyBorder="1" applyAlignment="1">
      <alignment horizontal="center" vertical="center" textRotation="90"/>
    </xf>
    <xf numFmtId="0" fontId="9" fillId="0" borderId="22" xfId="2" applyBorder="1" applyAlignment="1">
      <alignment horizontal="center" vertical="center" textRotation="90"/>
    </xf>
    <xf numFmtId="0" fontId="9" fillId="0" borderId="17" xfId="2" applyBorder="1" applyAlignment="1">
      <alignment horizontal="center" vertical="center" textRotation="90"/>
    </xf>
    <xf numFmtId="0" fontId="15" fillId="0" borderId="13" xfId="2" applyFont="1" applyBorder="1" applyAlignment="1">
      <alignment horizontal="center" vertical="center" wrapText="1"/>
    </xf>
    <xf numFmtId="0" fontId="10" fillId="0" borderId="13" xfId="3" applyFill="1" applyBorder="1" applyAlignment="1">
      <alignment horizontal="center" vertical="top" wrapText="1"/>
    </xf>
    <xf numFmtId="0" fontId="22" fillId="0" borderId="0" xfId="0" applyFont="1" applyAlignment="1">
      <alignment vertical="center"/>
    </xf>
    <xf numFmtId="0" fontId="38" fillId="0" borderId="0" xfId="0" applyFont="1" applyAlignment="1">
      <alignment horizontal="left" vertical="center" indent="4"/>
    </xf>
    <xf numFmtId="0" fontId="7" fillId="0" borderId="0" xfId="0" applyFont="1" applyAlignment="1">
      <alignment vertical="center"/>
    </xf>
    <xf numFmtId="0" fontId="6" fillId="0" borderId="2" xfId="1" applyFont="1" applyFill="1" applyBorder="1" applyAlignment="1" applyProtection="1">
      <alignment horizontal="left" vertical="center" textRotation="90" wrapText="1"/>
      <protection locked="0"/>
    </xf>
    <xf numFmtId="0" fontId="7" fillId="0" borderId="4" xfId="0" applyFont="1" applyFill="1" applyBorder="1" applyAlignment="1">
      <alignment horizontal="left" vertical="center" textRotation="90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textRotation="90"/>
    </xf>
    <xf numFmtId="49" fontId="7" fillId="0" borderId="0" xfId="0" applyNumberFormat="1" applyFont="1" applyFill="1" applyAlignment="1">
      <alignment textRotation="90"/>
    </xf>
    <xf numFmtId="0" fontId="7" fillId="0" borderId="4" xfId="0" applyFont="1" applyFill="1" applyBorder="1" applyAlignment="1">
      <alignment horizontal="left" wrapText="1"/>
    </xf>
    <xf numFmtId="0" fontId="6" fillId="0" borderId="2" xfId="1" applyFont="1" applyFill="1" applyBorder="1" applyAlignment="1" applyProtection="1">
      <alignment horizontal="left" textRotation="90" wrapText="1"/>
      <protection locked="0"/>
    </xf>
    <xf numFmtId="0" fontId="6" fillId="0" borderId="3" xfId="1" applyFont="1" applyFill="1" applyBorder="1" applyAlignment="1" applyProtection="1">
      <alignment horizontal="left" textRotation="90" wrapText="1"/>
      <protection locked="0"/>
    </xf>
    <xf numFmtId="0" fontId="6" fillId="0" borderId="4" xfId="1" applyFont="1" applyFill="1" applyBorder="1" applyAlignment="1" applyProtection="1">
      <alignment horizontal="left" textRotation="90" wrapText="1"/>
      <protection locked="0"/>
    </xf>
    <xf numFmtId="0" fontId="7" fillId="0" borderId="3" xfId="0" applyFont="1" applyFill="1" applyBorder="1" applyAlignment="1">
      <alignment horizontal="left" textRotation="90" wrapText="1"/>
    </xf>
    <xf numFmtId="0" fontId="7" fillId="0" borderId="4" xfId="0" applyFont="1" applyFill="1" applyBorder="1" applyAlignment="1">
      <alignment horizontal="left" textRotation="90" wrapText="1"/>
    </xf>
    <xf numFmtId="0" fontId="6" fillId="0" borderId="8" xfId="1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>
      <alignment horizontal="left" vertical="top" wrapText="1"/>
    </xf>
    <xf numFmtId="0" fontId="6" fillId="0" borderId="2" xfId="1" applyFont="1" applyFill="1" applyBorder="1" applyAlignment="1" applyProtection="1">
      <alignment horizontal="left" wrapText="1" indent="2"/>
      <protection locked="0"/>
    </xf>
    <xf numFmtId="0" fontId="7" fillId="0" borderId="3" xfId="0" applyFont="1" applyFill="1" applyBorder="1" applyAlignment="1">
      <alignment horizontal="left" wrapText="1" indent="2"/>
    </xf>
    <xf numFmtId="0" fontId="7" fillId="0" borderId="4" xfId="0" applyFont="1" applyFill="1" applyBorder="1" applyAlignment="1">
      <alignment horizontal="left" wrapText="1" indent="2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>
      <alignment horizontal="left" vertical="top" wrapText="1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6" fillId="0" borderId="5" xfId="1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textRotation="90"/>
    </xf>
    <xf numFmtId="0" fontId="7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textRotation="90"/>
    </xf>
    <xf numFmtId="0" fontId="31" fillId="0" borderId="2" xfId="1" applyFont="1" applyFill="1" applyBorder="1" applyAlignment="1" applyProtection="1">
      <alignment horizontal="center" vertical="center" wrapText="1"/>
      <protection locked="0"/>
    </xf>
    <xf numFmtId="0" fontId="31" fillId="0" borderId="4" xfId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3" xfId="3" xr:uid="{00000000-0005-0000-0000-000004000000}"/>
  </cellStyles>
  <dxfs count="7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FFA3"/>
      <color rgb="FFFFFF85"/>
      <color rgb="FF71DAFF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142874</xdr:rowOff>
    </xdr:from>
    <xdr:to>
      <xdr:col>14</xdr:col>
      <xdr:colOff>581024</xdr:colOff>
      <xdr:row>34</xdr:row>
      <xdr:rowOff>95249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241F5C4-12ED-45AE-A64F-DB930A8C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142874"/>
          <a:ext cx="10188575" cy="675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Layout" topLeftCell="A22" zoomScaleNormal="50" workbookViewId="0"/>
  </sheetViews>
  <sheetFormatPr defaultRowHeight="15.75" x14ac:dyDescent="0.25"/>
  <sheetData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"/>
  <sheetViews>
    <sheetView view="pageLayout" topLeftCell="A7" zoomScaleNormal="100" workbookViewId="0">
      <selection activeCell="J4" sqref="J4"/>
    </sheetView>
  </sheetViews>
  <sheetFormatPr defaultRowHeight="15.75" x14ac:dyDescent="0.25"/>
  <cols>
    <col min="2" max="2" width="12.625" customWidth="1"/>
    <col min="3" max="3" width="15" customWidth="1"/>
    <col min="4" max="4" width="13.875" customWidth="1"/>
    <col min="5" max="5" width="14.5" customWidth="1"/>
    <col min="6" max="6" width="12.75" customWidth="1"/>
    <col min="7" max="7" width="12.125" customWidth="1"/>
    <col min="8" max="8" width="10.5" customWidth="1"/>
    <col min="9" max="9" width="9.625" customWidth="1"/>
  </cols>
  <sheetData>
    <row r="1" spans="1:9" x14ac:dyDescent="0.25">
      <c r="A1" s="61" t="s">
        <v>371</v>
      </c>
      <c r="B1" s="61"/>
      <c r="C1" s="61"/>
      <c r="D1" s="61"/>
      <c r="E1" s="66"/>
      <c r="F1" s="61"/>
      <c r="G1" s="61"/>
      <c r="H1" s="61"/>
      <c r="I1" s="61"/>
    </row>
    <row r="2" spans="1:9" x14ac:dyDescent="0.25">
      <c r="A2" s="61"/>
      <c r="B2" s="61"/>
      <c r="C2" s="61"/>
      <c r="D2" s="61"/>
      <c r="E2" s="61"/>
      <c r="F2" s="61"/>
      <c r="G2" s="61"/>
      <c r="H2" s="61"/>
      <c r="I2" s="61"/>
    </row>
    <row r="3" spans="1:9" ht="94.5" x14ac:dyDescent="0.25">
      <c r="A3" s="62"/>
      <c r="B3" s="63" t="s">
        <v>379</v>
      </c>
      <c r="C3" s="441" t="s">
        <v>29</v>
      </c>
      <c r="D3" s="591" t="s">
        <v>30</v>
      </c>
      <c r="E3" s="591"/>
      <c r="F3" s="62"/>
      <c r="G3" s="591" t="s">
        <v>220</v>
      </c>
      <c r="H3" s="62"/>
      <c r="I3" s="62"/>
    </row>
    <row r="4" spans="1:9" ht="56.25" customHeight="1" x14ac:dyDescent="0.25">
      <c r="A4" s="62" t="s">
        <v>221</v>
      </c>
      <c r="B4" s="63"/>
      <c r="C4" s="64"/>
      <c r="D4" s="64" t="s">
        <v>222</v>
      </c>
      <c r="E4" s="62" t="s">
        <v>223</v>
      </c>
      <c r="F4" s="63" t="s">
        <v>193</v>
      </c>
      <c r="G4" s="591"/>
      <c r="H4" s="62" t="s">
        <v>191</v>
      </c>
      <c r="I4" s="62" t="s">
        <v>33</v>
      </c>
    </row>
    <row r="5" spans="1:9" ht="22.5" customHeight="1" x14ac:dyDescent="0.25">
      <c r="A5" s="62" t="s">
        <v>42</v>
      </c>
      <c r="B5" s="65">
        <f>график!B4</f>
        <v>39</v>
      </c>
      <c r="C5" s="65">
        <f>график!D4</f>
        <v>0</v>
      </c>
      <c r="D5" s="65">
        <f>график!E4</f>
        <v>0</v>
      </c>
      <c r="E5" s="65">
        <f>график!F4</f>
        <v>0</v>
      </c>
      <c r="F5" s="65">
        <f>график!C4</f>
        <v>2</v>
      </c>
      <c r="G5" s="65">
        <f>график!G4</f>
        <v>0</v>
      </c>
      <c r="H5" s="65">
        <f>график!H4</f>
        <v>11</v>
      </c>
      <c r="I5" s="65">
        <f>график!A4</f>
        <v>52</v>
      </c>
    </row>
    <row r="6" spans="1:9" ht="27" customHeight="1" x14ac:dyDescent="0.25">
      <c r="A6" s="62" t="s">
        <v>43</v>
      </c>
      <c r="B6" s="65">
        <f>график!B5</f>
        <v>35</v>
      </c>
      <c r="C6" s="65">
        <f>график!D5</f>
        <v>4</v>
      </c>
      <c r="D6" s="65">
        <f>график!E5</f>
        <v>0</v>
      </c>
      <c r="E6" s="65">
        <f>график!F5</f>
        <v>0</v>
      </c>
      <c r="F6" s="65">
        <f>график!C5</f>
        <v>2</v>
      </c>
      <c r="G6" s="65">
        <f>график!G5</f>
        <v>0</v>
      </c>
      <c r="H6" s="65">
        <f>график!H5</f>
        <v>11</v>
      </c>
      <c r="I6" s="65">
        <f>график!A5</f>
        <v>52</v>
      </c>
    </row>
    <row r="7" spans="1:9" ht="24" customHeight="1" x14ac:dyDescent="0.25">
      <c r="A7" s="62" t="s">
        <v>44</v>
      </c>
      <c r="B7" s="65">
        <v>29</v>
      </c>
      <c r="C7" s="65">
        <f>график!D6</f>
        <v>10</v>
      </c>
      <c r="D7" s="65">
        <f>график!E6</f>
        <v>0</v>
      </c>
      <c r="E7" s="65">
        <f>график!F6</f>
        <v>0</v>
      </c>
      <c r="F7" s="65">
        <f>график!C6</f>
        <v>2</v>
      </c>
      <c r="G7" s="65">
        <f>график!G6</f>
        <v>0</v>
      </c>
      <c r="H7" s="65">
        <f>график!H6</f>
        <v>11</v>
      </c>
      <c r="I7" s="65">
        <f>график!A6</f>
        <v>52</v>
      </c>
    </row>
    <row r="8" spans="1:9" ht="24.75" customHeight="1" x14ac:dyDescent="0.25">
      <c r="A8" s="62" t="s">
        <v>45</v>
      </c>
      <c r="B8" s="65">
        <f>график!B7</f>
        <v>20</v>
      </c>
      <c r="C8" s="65">
        <f>график!D7</f>
        <v>3</v>
      </c>
      <c r="D8" s="65">
        <f>график!E7</f>
        <v>7</v>
      </c>
      <c r="E8" s="65">
        <f>график!F7</f>
        <v>4</v>
      </c>
      <c r="F8" s="65">
        <f>график!C7</f>
        <v>1</v>
      </c>
      <c r="G8" s="65">
        <f>график!G7</f>
        <v>6</v>
      </c>
      <c r="H8" s="65">
        <f>график!H7</f>
        <v>2</v>
      </c>
      <c r="I8" s="65">
        <f>график!A7</f>
        <v>43</v>
      </c>
    </row>
    <row r="9" spans="1:9" ht="27" customHeight="1" x14ac:dyDescent="0.25">
      <c r="A9" s="62" t="s">
        <v>33</v>
      </c>
      <c r="B9" s="65">
        <f>график!B8</f>
        <v>123</v>
      </c>
      <c r="C9" s="65">
        <f>график!D8</f>
        <v>17</v>
      </c>
      <c r="D9" s="65">
        <f>график!E8</f>
        <v>7</v>
      </c>
      <c r="E9" s="65">
        <f>график!F8</f>
        <v>4</v>
      </c>
      <c r="F9" s="65">
        <f>график!C8</f>
        <v>7</v>
      </c>
      <c r="G9" s="65">
        <f>график!G8</f>
        <v>6</v>
      </c>
      <c r="H9" s="65">
        <f>график!H8</f>
        <v>35</v>
      </c>
      <c r="I9" s="65">
        <f>график!A8</f>
        <v>199</v>
      </c>
    </row>
  </sheetData>
  <mergeCells count="2">
    <mergeCell ref="D3:E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9"/>
  <sheetViews>
    <sheetView view="pageLayout" zoomScaleSheetLayoutView="120" workbookViewId="0">
      <selection activeCell="J1" sqref="J1:BI1"/>
    </sheetView>
  </sheetViews>
  <sheetFormatPr defaultColWidth="3" defaultRowHeight="15" x14ac:dyDescent="0.25"/>
  <cols>
    <col min="1" max="1" width="3.875" style="16" customWidth="1"/>
    <col min="2" max="2" width="5.75" style="16" customWidth="1"/>
    <col min="3" max="5" width="3" style="16"/>
    <col min="6" max="6" width="2.625" style="16" customWidth="1"/>
    <col min="7" max="7" width="2.125" style="16" customWidth="1"/>
    <col min="8" max="8" width="3" style="16"/>
    <col min="9" max="9" width="2.375" style="16" customWidth="1"/>
    <col min="10" max="61" width="1.75" style="16" customWidth="1"/>
    <col min="62" max="16384" width="3" style="16"/>
  </cols>
  <sheetData>
    <row r="1" spans="1:66" ht="60" customHeight="1" x14ac:dyDescent="0.25">
      <c r="A1" s="542" t="s">
        <v>33</v>
      </c>
      <c r="B1" s="542" t="s">
        <v>194</v>
      </c>
      <c r="C1" s="542" t="s">
        <v>193</v>
      </c>
      <c r="D1" s="542" t="s">
        <v>29</v>
      </c>
      <c r="E1" s="542" t="s">
        <v>30</v>
      </c>
      <c r="F1" s="542" t="s">
        <v>161</v>
      </c>
      <c r="G1" s="542" t="s">
        <v>192</v>
      </c>
      <c r="H1" s="542" t="s">
        <v>191</v>
      </c>
      <c r="I1" s="557" t="s">
        <v>190</v>
      </c>
      <c r="J1" s="543" t="s">
        <v>378</v>
      </c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5"/>
    </row>
    <row r="2" spans="1:66" ht="24" customHeight="1" x14ac:dyDescent="0.25">
      <c r="A2" s="542"/>
      <c r="B2" s="542"/>
      <c r="C2" s="542"/>
      <c r="D2" s="542"/>
      <c r="E2" s="542"/>
      <c r="F2" s="542"/>
      <c r="G2" s="542"/>
      <c r="H2" s="542"/>
      <c r="I2" s="558"/>
      <c r="J2" s="546" t="s">
        <v>189</v>
      </c>
      <c r="K2" s="547"/>
      <c r="L2" s="547"/>
      <c r="M2" s="547"/>
      <c r="N2" s="548"/>
      <c r="O2" s="556" t="s">
        <v>188</v>
      </c>
      <c r="P2" s="556"/>
      <c r="Q2" s="556"/>
      <c r="R2" s="556"/>
      <c r="S2" s="550" t="s">
        <v>187</v>
      </c>
      <c r="T2" s="550"/>
      <c r="U2" s="550"/>
      <c r="V2" s="550"/>
      <c r="W2" s="546" t="s">
        <v>186</v>
      </c>
      <c r="X2" s="549"/>
      <c r="Y2" s="549"/>
      <c r="Z2" s="549"/>
      <c r="AA2" s="548"/>
      <c r="AB2" s="550" t="s">
        <v>185</v>
      </c>
      <c r="AC2" s="550"/>
      <c r="AD2" s="550"/>
      <c r="AE2" s="550"/>
      <c r="AF2" s="550" t="s">
        <v>184</v>
      </c>
      <c r="AG2" s="550"/>
      <c r="AH2" s="550"/>
      <c r="AI2" s="550"/>
      <c r="AJ2" s="550" t="s">
        <v>183</v>
      </c>
      <c r="AK2" s="550"/>
      <c r="AL2" s="550"/>
      <c r="AM2" s="550"/>
      <c r="AN2" s="550"/>
      <c r="AO2" s="550" t="s">
        <v>182</v>
      </c>
      <c r="AP2" s="550"/>
      <c r="AQ2" s="550"/>
      <c r="AR2" s="550"/>
      <c r="AS2" s="550" t="s">
        <v>181</v>
      </c>
      <c r="AT2" s="550"/>
      <c r="AU2" s="550"/>
      <c r="AV2" s="550"/>
      <c r="AW2" s="550" t="s">
        <v>180</v>
      </c>
      <c r="AX2" s="550"/>
      <c r="AY2" s="550"/>
      <c r="AZ2" s="550"/>
      <c r="BA2" s="550"/>
      <c r="BB2" s="550" t="s">
        <v>179</v>
      </c>
      <c r="BC2" s="550"/>
      <c r="BD2" s="550"/>
      <c r="BE2" s="550"/>
      <c r="BF2" s="550" t="s">
        <v>178</v>
      </c>
      <c r="BG2" s="550"/>
      <c r="BH2" s="550"/>
      <c r="BI2" s="550"/>
    </row>
    <row r="3" spans="1:66" ht="75" customHeight="1" x14ac:dyDescent="0.25">
      <c r="A3" s="542"/>
      <c r="B3" s="542"/>
      <c r="C3" s="542"/>
      <c r="D3" s="542"/>
      <c r="E3" s="542"/>
      <c r="F3" s="542"/>
      <c r="G3" s="542"/>
      <c r="H3" s="542"/>
      <c r="I3" s="559"/>
      <c r="J3" s="28">
        <v>1</v>
      </c>
      <c r="K3" s="28">
        <v>2</v>
      </c>
      <c r="L3" s="28">
        <v>3</v>
      </c>
      <c r="M3" s="28">
        <v>4</v>
      </c>
      <c r="N3" s="28">
        <v>5</v>
      </c>
      <c r="O3" s="28">
        <v>6</v>
      </c>
      <c r="P3" s="28">
        <v>7</v>
      </c>
      <c r="Q3" s="28">
        <v>8</v>
      </c>
      <c r="R3" s="28">
        <v>9</v>
      </c>
      <c r="S3" s="28">
        <v>10</v>
      </c>
      <c r="T3" s="28">
        <v>11</v>
      </c>
      <c r="U3" s="28">
        <v>12</v>
      </c>
      <c r="V3" s="28">
        <v>13</v>
      </c>
      <c r="W3" s="28">
        <v>14</v>
      </c>
      <c r="X3" s="28">
        <v>15</v>
      </c>
      <c r="Y3" s="28">
        <v>16</v>
      </c>
      <c r="Z3" s="28">
        <v>17</v>
      </c>
      <c r="AA3" s="28">
        <v>18</v>
      </c>
      <c r="AB3" s="28">
        <v>19</v>
      </c>
      <c r="AC3" s="28">
        <v>20</v>
      </c>
      <c r="AD3" s="28">
        <v>21</v>
      </c>
      <c r="AE3" s="28">
        <v>22</v>
      </c>
      <c r="AF3" s="28">
        <v>23</v>
      </c>
      <c r="AG3" s="28">
        <v>24</v>
      </c>
      <c r="AH3" s="28">
        <v>25</v>
      </c>
      <c r="AI3" s="28">
        <v>26</v>
      </c>
      <c r="AJ3" s="28">
        <v>27</v>
      </c>
      <c r="AK3" s="28">
        <v>28</v>
      </c>
      <c r="AL3" s="28">
        <v>29</v>
      </c>
      <c r="AM3" s="28">
        <v>30</v>
      </c>
      <c r="AN3" s="28">
        <v>31</v>
      </c>
      <c r="AO3" s="28">
        <v>32</v>
      </c>
      <c r="AP3" s="28">
        <v>33</v>
      </c>
      <c r="AQ3" s="28">
        <v>34</v>
      </c>
      <c r="AR3" s="28">
        <v>35</v>
      </c>
      <c r="AS3" s="28">
        <v>36</v>
      </c>
      <c r="AT3" s="28">
        <v>37</v>
      </c>
      <c r="AU3" s="28">
        <v>38</v>
      </c>
      <c r="AV3" s="28">
        <v>39</v>
      </c>
      <c r="AW3" s="28">
        <v>40</v>
      </c>
      <c r="AX3" s="28">
        <v>41</v>
      </c>
      <c r="AY3" s="28">
        <v>42</v>
      </c>
      <c r="AZ3" s="28">
        <v>43</v>
      </c>
      <c r="BA3" s="28">
        <v>44</v>
      </c>
      <c r="BB3" s="28">
        <v>45</v>
      </c>
      <c r="BC3" s="28">
        <v>46</v>
      </c>
      <c r="BD3" s="28">
        <v>47</v>
      </c>
      <c r="BE3" s="28">
        <v>48</v>
      </c>
      <c r="BF3" s="29">
        <v>49</v>
      </c>
      <c r="BG3" s="29">
        <v>50</v>
      </c>
      <c r="BH3" s="29">
        <v>51</v>
      </c>
      <c r="BI3" s="28">
        <v>52</v>
      </c>
    </row>
    <row r="4" spans="1:66" ht="22.5" customHeight="1" x14ac:dyDescent="0.25">
      <c r="A4" s="23">
        <v>52</v>
      </c>
      <c r="B4" s="23">
        <f>COUNTIF(J4:BI4,"т")</f>
        <v>39</v>
      </c>
      <c r="C4" s="23">
        <f>COUNTIF(J4:BI4,"с")</f>
        <v>2</v>
      </c>
      <c r="D4" s="23">
        <f>COUNTIF(J4:BI4,"у")</f>
        <v>0</v>
      </c>
      <c r="E4" s="23">
        <f>COUNTIF(J4:BI4,"пс")</f>
        <v>0</v>
      </c>
      <c r="F4" s="23">
        <f>COUNTIF(J4:BI4,"пд")</f>
        <v>0</v>
      </c>
      <c r="G4" s="23">
        <f>COUNTIF(J4:BI4,"гиа")</f>
        <v>0</v>
      </c>
      <c r="H4" s="23">
        <f>COUNTIF(J4:BI4,"к")</f>
        <v>11</v>
      </c>
      <c r="I4" s="23">
        <v>1</v>
      </c>
      <c r="J4" s="24" t="s">
        <v>175</v>
      </c>
      <c r="K4" s="24" t="s">
        <v>175</v>
      </c>
      <c r="L4" s="24" t="s">
        <v>175</v>
      </c>
      <c r="M4" s="24" t="s">
        <v>175</v>
      </c>
      <c r="N4" s="24" t="s">
        <v>175</v>
      </c>
      <c r="O4" s="24" t="s">
        <v>175</v>
      </c>
      <c r="P4" s="24" t="s">
        <v>175</v>
      </c>
      <c r="Q4" s="24" t="s">
        <v>175</v>
      </c>
      <c r="R4" s="24" t="s">
        <v>175</v>
      </c>
      <c r="S4" s="24" t="s">
        <v>175</v>
      </c>
      <c r="T4" s="24" t="s">
        <v>175</v>
      </c>
      <c r="U4" s="27" t="s">
        <v>175</v>
      </c>
      <c r="V4" s="24" t="s">
        <v>175</v>
      </c>
      <c r="W4" s="24" t="s">
        <v>175</v>
      </c>
      <c r="X4" s="24" t="s">
        <v>175</v>
      </c>
      <c r="Y4" s="24" t="s">
        <v>175</v>
      </c>
      <c r="Z4" s="24" t="s">
        <v>175</v>
      </c>
      <c r="AA4" s="24" t="s">
        <v>176</v>
      </c>
      <c r="AB4" s="24" t="s">
        <v>176</v>
      </c>
      <c r="AC4" s="24" t="s">
        <v>175</v>
      </c>
      <c r="AD4" s="24" t="s">
        <v>175</v>
      </c>
      <c r="AE4" s="24" t="s">
        <v>175</v>
      </c>
      <c r="AF4" s="24" t="s">
        <v>175</v>
      </c>
      <c r="AG4" s="24" t="s">
        <v>175</v>
      </c>
      <c r="AH4" s="24" t="s">
        <v>175</v>
      </c>
      <c r="AI4" s="24" t="s">
        <v>175</v>
      </c>
      <c r="AJ4" s="24" t="s">
        <v>175</v>
      </c>
      <c r="AK4" s="24" t="s">
        <v>175</v>
      </c>
      <c r="AL4" s="24" t="s">
        <v>175</v>
      </c>
      <c r="AM4" s="24" t="s">
        <v>175</v>
      </c>
      <c r="AN4" s="24" t="s">
        <v>175</v>
      </c>
      <c r="AO4" s="24" t="s">
        <v>175</v>
      </c>
      <c r="AP4" s="24" t="s">
        <v>175</v>
      </c>
      <c r="AQ4" s="24" t="s">
        <v>175</v>
      </c>
      <c r="AR4" s="24" t="s">
        <v>175</v>
      </c>
      <c r="AS4" s="24" t="s">
        <v>175</v>
      </c>
      <c r="AT4" s="24" t="s">
        <v>175</v>
      </c>
      <c r="AU4" s="24" t="s">
        <v>175</v>
      </c>
      <c r="AV4" s="24" t="s">
        <v>175</v>
      </c>
      <c r="AW4" s="24" t="s">
        <v>175</v>
      </c>
      <c r="AX4" s="24" t="s">
        <v>175</v>
      </c>
      <c r="AY4" s="24" t="s">
        <v>174</v>
      </c>
      <c r="AZ4" s="24" t="s">
        <v>174</v>
      </c>
      <c r="BA4" s="24" t="s">
        <v>176</v>
      </c>
      <c r="BB4" s="24" t="s">
        <v>176</v>
      </c>
      <c r="BC4" s="24" t="s">
        <v>176</v>
      </c>
      <c r="BD4" s="24" t="s">
        <v>176</v>
      </c>
      <c r="BE4" s="24" t="s">
        <v>176</v>
      </c>
      <c r="BF4" s="24" t="s">
        <v>176</v>
      </c>
      <c r="BG4" s="24" t="s">
        <v>176</v>
      </c>
      <c r="BH4" s="24" t="s">
        <v>176</v>
      </c>
      <c r="BI4" s="24" t="s">
        <v>176</v>
      </c>
      <c r="BJ4" s="16">
        <v>1</v>
      </c>
    </row>
    <row r="5" spans="1:66" ht="22.5" customHeight="1" x14ac:dyDescent="0.25">
      <c r="A5" s="23">
        <v>52</v>
      </c>
      <c r="B5" s="23">
        <f>COUNTIF(J5:BI5,"т")</f>
        <v>35</v>
      </c>
      <c r="C5" s="23">
        <f>COUNTIF(J5:BI5,"с")</f>
        <v>2</v>
      </c>
      <c r="D5" s="23">
        <f>COUNTIF(J5:BI5,"у")</f>
        <v>4</v>
      </c>
      <c r="E5" s="23">
        <f>COUNTIF(J5:BI5,"пс")</f>
        <v>0</v>
      </c>
      <c r="F5" s="23">
        <f>COUNTIF(J5:BI5,"пд")</f>
        <v>0</v>
      </c>
      <c r="G5" s="23">
        <f>COUNTIF(J5:BI5,"гиа")</f>
        <v>0</v>
      </c>
      <c r="H5" s="23">
        <f>COUNTIF(J5:BI5,"к")</f>
        <v>11</v>
      </c>
      <c r="I5" s="23">
        <v>2</v>
      </c>
      <c r="J5" s="24" t="s">
        <v>175</v>
      </c>
      <c r="K5" s="24" t="s">
        <v>175</v>
      </c>
      <c r="L5" s="24" t="s">
        <v>175</v>
      </c>
      <c r="M5" s="24" t="s">
        <v>175</v>
      </c>
      <c r="N5" s="24" t="s">
        <v>173</v>
      </c>
      <c r="O5" s="24" t="s">
        <v>175</v>
      </c>
      <c r="P5" s="24" t="s">
        <v>175</v>
      </c>
      <c r="Q5" s="24" t="s">
        <v>175</v>
      </c>
      <c r="R5" s="24" t="s">
        <v>175</v>
      </c>
      <c r="S5" s="24" t="s">
        <v>175</v>
      </c>
      <c r="T5" s="24" t="s">
        <v>175</v>
      </c>
      <c r="U5" s="27" t="s">
        <v>175</v>
      </c>
      <c r="V5" s="24" t="s">
        <v>175</v>
      </c>
      <c r="W5" s="24" t="s">
        <v>175</v>
      </c>
      <c r="X5" s="24" t="s">
        <v>175</v>
      </c>
      <c r="Y5" s="24" t="s">
        <v>175</v>
      </c>
      <c r="Z5" s="24" t="s">
        <v>174</v>
      </c>
      <c r="AA5" s="24" t="s">
        <v>176</v>
      </c>
      <c r="AB5" s="24" t="s">
        <v>176</v>
      </c>
      <c r="AC5" s="24" t="s">
        <v>175</v>
      </c>
      <c r="AD5" s="24" t="s">
        <v>175</v>
      </c>
      <c r="AE5" s="24" t="s">
        <v>175</v>
      </c>
      <c r="AF5" s="24" t="s">
        <v>175</v>
      </c>
      <c r="AG5" s="24" t="s">
        <v>175</v>
      </c>
      <c r="AH5" s="24" t="s">
        <v>175</v>
      </c>
      <c r="AI5" s="24" t="s">
        <v>173</v>
      </c>
      <c r="AJ5" s="24" t="s">
        <v>173</v>
      </c>
      <c r="AK5" s="24" t="s">
        <v>175</v>
      </c>
      <c r="AL5" s="24" t="s">
        <v>175</v>
      </c>
      <c r="AM5" s="24" t="s">
        <v>175</v>
      </c>
      <c r="AN5" s="24" t="s">
        <v>175</v>
      </c>
      <c r="AO5" s="24" t="s">
        <v>175</v>
      </c>
      <c r="AP5" s="24" t="s">
        <v>175</v>
      </c>
      <c r="AQ5" s="24" t="s">
        <v>175</v>
      </c>
      <c r="AR5" s="24" t="s">
        <v>175</v>
      </c>
      <c r="AS5" s="24" t="s">
        <v>175</v>
      </c>
      <c r="AT5" s="24" t="s">
        <v>175</v>
      </c>
      <c r="AU5" s="24" t="s">
        <v>175</v>
      </c>
      <c r="AV5" s="24" t="s">
        <v>175</v>
      </c>
      <c r="AW5" s="24" t="s">
        <v>175</v>
      </c>
      <c r="AX5" s="24" t="s">
        <v>175</v>
      </c>
      <c r="AY5" s="24" t="s">
        <v>173</v>
      </c>
      <c r="AZ5" s="24" t="s">
        <v>174</v>
      </c>
      <c r="BA5" s="24" t="s">
        <v>176</v>
      </c>
      <c r="BB5" s="24" t="s">
        <v>176</v>
      </c>
      <c r="BC5" s="24" t="s">
        <v>176</v>
      </c>
      <c r="BD5" s="24" t="s">
        <v>176</v>
      </c>
      <c r="BE5" s="24" t="s">
        <v>176</v>
      </c>
      <c r="BF5" s="24" t="s">
        <v>176</v>
      </c>
      <c r="BG5" s="24" t="s">
        <v>176</v>
      </c>
      <c r="BH5" s="24" t="s">
        <v>176</v>
      </c>
      <c r="BI5" s="24" t="s">
        <v>176</v>
      </c>
      <c r="BJ5" s="16">
        <v>2</v>
      </c>
      <c r="BN5" s="67"/>
    </row>
    <row r="6" spans="1:66" ht="21.75" customHeight="1" x14ac:dyDescent="0.25">
      <c r="A6" s="23">
        <v>52</v>
      </c>
      <c r="B6" s="23">
        <f>COUNTIF(J6:BI6,"т")</f>
        <v>29</v>
      </c>
      <c r="C6" s="23">
        <f>COUNTIF(J6:BI6,"с")</f>
        <v>2</v>
      </c>
      <c r="D6" s="23">
        <f>COUNTIF(J6:BI6,"у")</f>
        <v>10</v>
      </c>
      <c r="E6" s="23">
        <f>COUNTIF(J6:BI6,"пс")</f>
        <v>0</v>
      </c>
      <c r="F6" s="23">
        <f>COUNTIF(J6:BI6,"пд")</f>
        <v>0</v>
      </c>
      <c r="G6" s="23">
        <f>COUNTIF(J6:BI6,"гиа")</f>
        <v>0</v>
      </c>
      <c r="H6" s="23">
        <f>COUNTIF(J6:BI6,"к")</f>
        <v>11</v>
      </c>
      <c r="I6" s="23">
        <v>3</v>
      </c>
      <c r="J6" s="24" t="s">
        <v>175</v>
      </c>
      <c r="K6" s="24" t="s">
        <v>175</v>
      </c>
      <c r="L6" s="24" t="s">
        <v>175</v>
      </c>
      <c r="M6" s="24" t="s">
        <v>175</v>
      </c>
      <c r="N6" s="24" t="s">
        <v>175</v>
      </c>
      <c r="O6" s="24" t="s">
        <v>175</v>
      </c>
      <c r="P6" s="24" t="s">
        <v>175</v>
      </c>
      <c r="Q6" s="24" t="s">
        <v>175</v>
      </c>
      <c r="R6" s="24" t="s">
        <v>175</v>
      </c>
      <c r="S6" s="24" t="s">
        <v>175</v>
      </c>
      <c r="T6" s="24" t="s">
        <v>175</v>
      </c>
      <c r="U6" s="24" t="s">
        <v>175</v>
      </c>
      <c r="V6" s="24" t="s">
        <v>173</v>
      </c>
      <c r="W6" s="24" t="s">
        <v>173</v>
      </c>
      <c r="X6" s="24" t="s">
        <v>173</v>
      </c>
      <c r="Y6" s="24" t="s">
        <v>173</v>
      </c>
      <c r="Z6" s="24" t="s">
        <v>174</v>
      </c>
      <c r="AA6" s="24" t="s">
        <v>176</v>
      </c>
      <c r="AB6" s="24" t="s">
        <v>176</v>
      </c>
      <c r="AC6" s="24" t="s">
        <v>175</v>
      </c>
      <c r="AD6" s="24" t="s">
        <v>175</v>
      </c>
      <c r="AE6" s="24" t="s">
        <v>175</v>
      </c>
      <c r="AF6" s="24" t="s">
        <v>175</v>
      </c>
      <c r="AG6" s="24" t="s">
        <v>175</v>
      </c>
      <c r="AH6" s="24" t="s">
        <v>175</v>
      </c>
      <c r="AI6" s="24" t="s">
        <v>175</v>
      </c>
      <c r="AJ6" s="24" t="s">
        <v>175</v>
      </c>
      <c r="AK6" s="24" t="s">
        <v>175</v>
      </c>
      <c r="AL6" s="24" t="s">
        <v>173</v>
      </c>
      <c r="AM6" s="24" t="s">
        <v>173</v>
      </c>
      <c r="AN6" s="24" t="s">
        <v>175</v>
      </c>
      <c r="AO6" s="24" t="s">
        <v>175</v>
      </c>
      <c r="AP6" s="24" t="s">
        <v>175</v>
      </c>
      <c r="AQ6" s="24" t="s">
        <v>173</v>
      </c>
      <c r="AR6" s="24" t="s">
        <v>173</v>
      </c>
      <c r="AS6" s="24" t="s">
        <v>175</v>
      </c>
      <c r="AT6" s="24" t="s">
        <v>175</v>
      </c>
      <c r="AU6" s="24" t="s">
        <v>175</v>
      </c>
      <c r="AV6" s="24" t="s">
        <v>175</v>
      </c>
      <c r="AW6" s="24" t="s">
        <v>175</v>
      </c>
      <c r="AX6" s="24" t="s">
        <v>174</v>
      </c>
      <c r="AY6" s="24" t="s">
        <v>173</v>
      </c>
      <c r="AZ6" s="24" t="s">
        <v>173</v>
      </c>
      <c r="BA6" s="24" t="s">
        <v>176</v>
      </c>
      <c r="BB6" s="24" t="s">
        <v>176</v>
      </c>
      <c r="BC6" s="24" t="s">
        <v>176</v>
      </c>
      <c r="BD6" s="24" t="s">
        <v>176</v>
      </c>
      <c r="BE6" s="24" t="s">
        <v>176</v>
      </c>
      <c r="BF6" s="24" t="s">
        <v>176</v>
      </c>
      <c r="BG6" s="24" t="s">
        <v>176</v>
      </c>
      <c r="BH6" s="24" t="s">
        <v>176</v>
      </c>
      <c r="BI6" s="24" t="s">
        <v>176</v>
      </c>
      <c r="BJ6" s="16">
        <v>3</v>
      </c>
    </row>
    <row r="7" spans="1:66" ht="22.5" customHeight="1" x14ac:dyDescent="0.25">
      <c r="A7" s="23">
        <v>43</v>
      </c>
      <c r="B7" s="23">
        <f>COUNTIF(J7:BI7,"т")</f>
        <v>20</v>
      </c>
      <c r="C7" s="23">
        <f>COUNTIF(J7:BI7,"с")</f>
        <v>1</v>
      </c>
      <c r="D7" s="23">
        <f>COUNTIF(J7:BI7,"у")</f>
        <v>3</v>
      </c>
      <c r="E7" s="23">
        <f>COUNTIF(J7:BI7,"пс")</f>
        <v>7</v>
      </c>
      <c r="F7" s="23">
        <f>COUNTIF(J7:BI7,"пд")</f>
        <v>4</v>
      </c>
      <c r="G7" s="23">
        <f>COUNTIF(J7:BI7,"гиа")</f>
        <v>6</v>
      </c>
      <c r="H7" s="23">
        <f>COUNTIF(J7:BI7,"к")</f>
        <v>2</v>
      </c>
      <c r="I7" s="23">
        <v>4</v>
      </c>
      <c r="J7" s="24" t="s">
        <v>177</v>
      </c>
      <c r="K7" s="24" t="s">
        <v>177</v>
      </c>
      <c r="L7" s="24" t="s">
        <v>177</v>
      </c>
      <c r="M7" s="24" t="s">
        <v>177</v>
      </c>
      <c r="N7" s="24" t="s">
        <v>177</v>
      </c>
      <c r="O7" s="24" t="s">
        <v>177</v>
      </c>
      <c r="P7" s="24" t="s">
        <v>177</v>
      </c>
      <c r="Q7" s="24" t="s">
        <v>175</v>
      </c>
      <c r="R7" s="24" t="s">
        <v>175</v>
      </c>
      <c r="S7" s="24" t="s">
        <v>175</v>
      </c>
      <c r="T7" s="24" t="s">
        <v>175</v>
      </c>
      <c r="U7" s="24" t="s">
        <v>175</v>
      </c>
      <c r="V7" s="24" t="s">
        <v>175</v>
      </c>
      <c r="W7" s="24" t="s">
        <v>175</v>
      </c>
      <c r="X7" s="24" t="s">
        <v>175</v>
      </c>
      <c r="Y7" s="24" t="s">
        <v>175</v>
      </c>
      <c r="Z7" s="24" t="s">
        <v>175</v>
      </c>
      <c r="AA7" s="24" t="s">
        <v>176</v>
      </c>
      <c r="AB7" s="24" t="s">
        <v>176</v>
      </c>
      <c r="AC7" s="24" t="s">
        <v>175</v>
      </c>
      <c r="AD7" s="24" t="s">
        <v>175</v>
      </c>
      <c r="AE7" s="24" t="s">
        <v>175</v>
      </c>
      <c r="AF7" s="24" t="s">
        <v>175</v>
      </c>
      <c r="AG7" s="24" t="s">
        <v>175</v>
      </c>
      <c r="AH7" s="24" t="s">
        <v>175</v>
      </c>
      <c r="AI7" s="24" t="s">
        <v>175</v>
      </c>
      <c r="AJ7" s="24" t="s">
        <v>175</v>
      </c>
      <c r="AK7" s="24" t="s">
        <v>173</v>
      </c>
      <c r="AL7" s="24" t="s">
        <v>175</v>
      </c>
      <c r="AM7" s="24" t="s">
        <v>175</v>
      </c>
      <c r="AN7" s="24" t="s">
        <v>174</v>
      </c>
      <c r="AO7" s="24" t="s">
        <v>173</v>
      </c>
      <c r="AP7" s="27" t="s">
        <v>173</v>
      </c>
      <c r="AQ7" s="26" t="s">
        <v>172</v>
      </c>
      <c r="AR7" s="26" t="s">
        <v>172</v>
      </c>
      <c r="AS7" s="26" t="s">
        <v>172</v>
      </c>
      <c r="AT7" s="26" t="s">
        <v>172</v>
      </c>
      <c r="AU7" s="25" t="s">
        <v>171</v>
      </c>
      <c r="AV7" s="25" t="s">
        <v>171</v>
      </c>
      <c r="AW7" s="25" t="s">
        <v>171</v>
      </c>
      <c r="AX7" s="25" t="s">
        <v>171</v>
      </c>
      <c r="AY7" s="25" t="s">
        <v>171</v>
      </c>
      <c r="AZ7" s="25" t="s">
        <v>171</v>
      </c>
      <c r="BA7" s="24"/>
      <c r="BB7" s="24"/>
      <c r="BC7" s="24"/>
      <c r="BD7" s="24"/>
      <c r="BE7" s="24"/>
      <c r="BF7" s="24"/>
      <c r="BG7" s="24"/>
      <c r="BH7" s="24"/>
      <c r="BI7" s="24"/>
      <c r="BJ7" s="16">
        <v>4</v>
      </c>
    </row>
    <row r="8" spans="1:66" ht="22.5" customHeight="1" x14ac:dyDescent="0.25">
      <c r="A8" s="23">
        <f>SUM(A4:A7)</f>
        <v>199</v>
      </c>
      <c r="B8" s="23">
        <f t="shared" ref="B8:H8" si="0">SUM(B4:B7)</f>
        <v>123</v>
      </c>
      <c r="C8" s="23">
        <f t="shared" si="0"/>
        <v>7</v>
      </c>
      <c r="D8" s="23">
        <f t="shared" si="0"/>
        <v>17</v>
      </c>
      <c r="E8" s="23">
        <f t="shared" si="0"/>
        <v>7</v>
      </c>
      <c r="F8" s="23">
        <f t="shared" si="0"/>
        <v>4</v>
      </c>
      <c r="G8" s="23">
        <f t="shared" si="0"/>
        <v>6</v>
      </c>
      <c r="H8" s="23">
        <f t="shared" si="0"/>
        <v>35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22"/>
    </row>
    <row r="9" spans="1:66" ht="17.25" customHeight="1" x14ac:dyDescent="0.25">
      <c r="A9" s="21"/>
      <c r="B9" s="20"/>
      <c r="C9" s="20"/>
      <c r="D9" s="20"/>
      <c r="E9" s="20"/>
      <c r="F9" s="20"/>
      <c r="G9" s="560" t="s">
        <v>170</v>
      </c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7"/>
    </row>
    <row r="10" spans="1:66" x14ac:dyDescent="0.25">
      <c r="A10" s="17"/>
      <c r="B10" s="17"/>
      <c r="C10" s="17"/>
      <c r="D10" s="17"/>
      <c r="E10" s="17"/>
      <c r="F10" s="17"/>
      <c r="G10" s="553" t="s">
        <v>169</v>
      </c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5"/>
      <c r="Y10" s="555"/>
      <c r="Z10" s="555"/>
      <c r="AA10" s="555"/>
      <c r="AB10" s="555"/>
      <c r="AC10" s="555"/>
      <c r="AD10" s="555"/>
      <c r="AE10" s="555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</row>
    <row r="11" spans="1:66" x14ac:dyDescent="0.25">
      <c r="A11" s="17"/>
      <c r="B11" s="17"/>
      <c r="C11" s="17"/>
      <c r="D11" s="17"/>
      <c r="E11" s="17"/>
      <c r="F11" s="17"/>
      <c r="G11" s="553" t="s">
        <v>168</v>
      </c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5"/>
      <c r="Z11" s="555"/>
      <c r="AA11" s="555"/>
      <c r="AB11" s="555"/>
      <c r="AC11" s="555"/>
      <c r="AD11" s="555"/>
      <c r="AE11" s="555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</row>
    <row r="12" spans="1:66" x14ac:dyDescent="0.25">
      <c r="A12" s="17"/>
      <c r="B12" s="17"/>
      <c r="C12" s="17"/>
      <c r="D12" s="17"/>
      <c r="E12" s="17"/>
      <c r="F12" s="17"/>
      <c r="G12" s="553" t="s">
        <v>167</v>
      </c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5"/>
      <c r="Z12" s="555"/>
      <c r="AA12" s="555"/>
      <c r="AB12" s="555"/>
      <c r="AC12" s="555"/>
      <c r="AD12" s="555"/>
      <c r="AE12" s="555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</row>
    <row r="13" spans="1:66" x14ac:dyDescent="0.25">
      <c r="A13" s="17"/>
      <c r="B13" s="17"/>
      <c r="C13" s="17"/>
      <c r="D13" s="17"/>
      <c r="E13" s="17"/>
      <c r="F13" s="17"/>
      <c r="G13" s="553" t="s">
        <v>166</v>
      </c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5"/>
      <c r="Z13" s="555"/>
      <c r="AA13" s="555"/>
      <c r="AB13" s="555"/>
      <c r="AC13" s="555"/>
      <c r="AD13" s="555"/>
      <c r="AE13" s="555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</row>
    <row r="14" spans="1:66" x14ac:dyDescent="0.25">
      <c r="A14" s="17"/>
      <c r="B14" s="17"/>
      <c r="C14" s="17"/>
      <c r="D14" s="17"/>
      <c r="E14" s="17"/>
      <c r="F14" s="17"/>
      <c r="G14" s="553" t="s">
        <v>165</v>
      </c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5"/>
      <c r="Z14" s="555"/>
      <c r="AA14" s="555"/>
      <c r="AB14" s="555"/>
      <c r="AC14" s="555"/>
      <c r="AD14" s="555"/>
      <c r="AE14" s="555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</row>
    <row r="15" spans="1:66" x14ac:dyDescent="0.25">
      <c r="A15" s="17"/>
      <c r="B15" s="17"/>
      <c r="C15" s="17"/>
      <c r="D15" s="17"/>
      <c r="E15" s="17"/>
      <c r="F15" s="17"/>
      <c r="G15" s="553" t="s">
        <v>164</v>
      </c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5"/>
      <c r="Z15" s="555"/>
      <c r="AA15" s="555"/>
      <c r="AB15" s="555"/>
      <c r="AC15" s="555"/>
      <c r="AD15" s="555"/>
      <c r="AE15" s="555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</row>
    <row r="16" spans="1:66" x14ac:dyDescent="0.25">
      <c r="A16" s="17"/>
      <c r="B16" s="17"/>
      <c r="C16" s="17"/>
      <c r="D16" s="17"/>
      <c r="E16" s="17"/>
      <c r="F16" s="17"/>
      <c r="G16" s="553" t="s">
        <v>163</v>
      </c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5"/>
      <c r="Z16" s="555"/>
      <c r="AA16" s="555"/>
      <c r="AB16" s="555"/>
      <c r="AC16" s="555"/>
      <c r="AD16" s="555"/>
      <c r="AE16" s="555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ht="15.75" customHeight="1" x14ac:dyDescent="0.25">
      <c r="A17" s="17"/>
      <c r="B17" s="17"/>
      <c r="C17" s="17"/>
      <c r="D17" s="17"/>
      <c r="E17" s="17"/>
      <c r="F17" s="17"/>
      <c r="G17" s="551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552"/>
      <c r="AE17" s="552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ht="23.25" customHeight="1" x14ac:dyDescent="0.25">
      <c r="A18" s="17"/>
      <c r="B18" s="17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</row>
    <row r="19" spans="1:6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</row>
  </sheetData>
  <mergeCells count="31">
    <mergeCell ref="G17:AE17"/>
    <mergeCell ref="A1:A3"/>
    <mergeCell ref="B1:B3"/>
    <mergeCell ref="AJ2:AN2"/>
    <mergeCell ref="AO2:AR2"/>
    <mergeCell ref="G14:AE14"/>
    <mergeCell ref="G15:AE15"/>
    <mergeCell ref="G16:AE16"/>
    <mergeCell ref="O2:R2"/>
    <mergeCell ref="I1:I3"/>
    <mergeCell ref="G9:AE9"/>
    <mergeCell ref="G10:AE10"/>
    <mergeCell ref="G11:AE11"/>
    <mergeCell ref="G12:AE12"/>
    <mergeCell ref="G13:AE13"/>
    <mergeCell ref="C1:C3"/>
    <mergeCell ref="D1:D3"/>
    <mergeCell ref="E1:E3"/>
    <mergeCell ref="F1:F3"/>
    <mergeCell ref="J1:BI1"/>
    <mergeCell ref="J2:N2"/>
    <mergeCell ref="G1:G3"/>
    <mergeCell ref="H1:H3"/>
    <mergeCell ref="W2:AA2"/>
    <mergeCell ref="AW2:BA2"/>
    <mergeCell ref="AS2:AV2"/>
    <mergeCell ref="BB2:BE2"/>
    <mergeCell ref="BF2:BI2"/>
    <mergeCell ref="S2:V2"/>
    <mergeCell ref="AB2:AE2"/>
    <mergeCell ref="AF2:AI2"/>
  </mergeCells>
  <conditionalFormatting sqref="J4:BH7">
    <cfRule type="cellIs" dxfId="6" priority="7" operator="equal">
      <formula>"т"</formula>
    </cfRule>
  </conditionalFormatting>
  <conditionalFormatting sqref="J4:BI7">
    <cfRule type="cellIs" dxfId="5" priority="1" operator="equal">
      <formula>"гиа"</formula>
    </cfRule>
    <cfRule type="cellIs" dxfId="4" priority="2" operator="equal">
      <formula>"пд"</formula>
    </cfRule>
    <cfRule type="cellIs" dxfId="3" priority="3" operator="equal">
      <formula>"пс"</formula>
    </cfRule>
    <cfRule type="cellIs" dxfId="2" priority="4" operator="equal">
      <formula>"у"</formula>
    </cfRule>
    <cfRule type="cellIs" dxfId="1" priority="5" operator="equal">
      <formula>"с"</formula>
    </cfRule>
    <cfRule type="cellIs" dxfId="0" priority="6" operator="equal">
      <formula>"к"</formula>
    </cfRule>
  </conditionalFormatting>
  <pageMargins left="0.25" right="0.25" top="0.75" bottom="0.75" header="0.3" footer="0.3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122"/>
  <sheetViews>
    <sheetView showZeros="0" tabSelected="1" zoomScale="84" zoomScaleNormal="84" zoomScaleSheetLayoutView="80" workbookViewId="0">
      <pane xSplit="4" ySplit="5" topLeftCell="BV75" activePane="bottomRight" state="frozen"/>
      <selection pane="topRight" activeCell="E1" sqref="E1"/>
      <selection pane="bottomLeft" activeCell="A6" sqref="A6"/>
      <selection pane="bottomRight" activeCell="B76" sqref="B76"/>
    </sheetView>
  </sheetViews>
  <sheetFormatPr defaultRowHeight="15.75" outlineLevelCol="1" x14ac:dyDescent="0.25"/>
  <cols>
    <col min="1" max="1" width="11" style="14" customWidth="1"/>
    <col min="2" max="2" width="26.75" style="229" customWidth="1"/>
    <col min="3" max="3" width="7.375" style="249" customWidth="1"/>
    <col min="4" max="4" width="8.875" style="14" customWidth="1"/>
    <col min="5" max="5" width="5.625" style="14" customWidth="1" outlineLevel="1"/>
    <col min="6" max="6" width="7.875" style="14" customWidth="1" outlineLevel="1"/>
    <col min="7" max="7" width="6.5" style="14" customWidth="1" outlineLevel="1"/>
    <col min="8" max="8" width="5.375" style="14" customWidth="1" outlineLevel="1"/>
    <col min="9" max="9" width="6.5" style="14" customWidth="1" outlineLevel="1"/>
    <col min="10" max="10" width="5" style="14" customWidth="1" outlineLevel="1"/>
    <col min="11" max="11" width="6.5" style="14" customWidth="1" outlineLevel="1"/>
    <col min="12" max="12" width="8.125" style="14" customWidth="1" outlineLevel="1"/>
    <col min="13" max="13" width="1" style="14" customWidth="1"/>
    <col min="14" max="14" width="7.125" style="14" customWidth="1" outlineLevel="1"/>
    <col min="15" max="15" width="9.125" style="279" customWidth="1" outlineLevel="1"/>
    <col min="16" max="16" width="5.75" style="14" customWidth="1" outlineLevel="1"/>
    <col min="17" max="17" width="5.875" style="14" customWidth="1" outlineLevel="1"/>
    <col min="18" max="18" width="4.5" style="14" customWidth="1" outlineLevel="1"/>
    <col min="19" max="19" width="3.5" style="14" customWidth="1" outlineLevel="1"/>
    <col min="20" max="20" width="3.25" style="14" customWidth="1" outlineLevel="1"/>
    <col min="21" max="22" width="3.5" style="14" customWidth="1" outlineLevel="1"/>
    <col min="23" max="23" width="4.75" style="14" customWidth="1" outlineLevel="1"/>
    <col min="24" max="24" width="0.75" style="14" customWidth="1" outlineLevel="1"/>
    <col min="25" max="25" width="5.875" style="14" customWidth="1" outlineLevel="1"/>
    <col min="26" max="26" width="10.375" style="279" customWidth="1" outlineLevel="1"/>
    <col min="27" max="27" width="6" style="14" customWidth="1" outlineLevel="1"/>
    <col min="28" max="28" width="5.625" style="14" customWidth="1" outlineLevel="1"/>
    <col min="29" max="29" width="4.75" style="14" customWidth="1" outlineLevel="1"/>
    <col min="30" max="31" width="3.5" style="14" customWidth="1" outlineLevel="1"/>
    <col min="32" max="32" width="3" style="14" customWidth="1" outlineLevel="1"/>
    <col min="33" max="33" width="3.625" style="14" customWidth="1" outlineLevel="1"/>
    <col min="34" max="34" width="3.125" style="14" customWidth="1" outlineLevel="1"/>
    <col min="35" max="35" width="2.125" style="14" customWidth="1"/>
    <col min="36" max="36" width="5.875" style="93" customWidth="1" outlineLevel="1"/>
    <col min="37" max="37" width="6.375" style="277" customWidth="1" outlineLevel="1"/>
    <col min="38" max="38" width="6.75" style="93" customWidth="1" outlineLevel="1"/>
    <col min="39" max="39" width="4.375" style="93" customWidth="1" outlineLevel="1"/>
    <col min="40" max="40" width="6.125" style="93" customWidth="1" outlineLevel="1"/>
    <col min="41" max="42" width="3.875" style="93" customWidth="1" outlineLevel="1"/>
    <col min="43" max="43" width="6.25" style="93" customWidth="1" outlineLevel="1"/>
    <col min="44" max="45" width="3.375" style="93" customWidth="1" outlineLevel="1"/>
    <col min="46" max="46" width="0.375" style="93" customWidth="1" outlineLevel="1"/>
    <col min="47" max="47" width="6.875" style="93" customWidth="1" outlineLevel="1"/>
    <col min="48" max="48" width="8.375" style="277" customWidth="1" outlineLevel="1"/>
    <col min="49" max="49" width="6.75" style="93" customWidth="1" outlineLevel="1"/>
    <col min="50" max="50" width="6.375" style="93" customWidth="1" outlineLevel="1"/>
    <col min="51" max="53" width="4.5" style="93" customWidth="1" outlineLevel="1"/>
    <col min="54" max="54" width="7.5" style="93" customWidth="1" outlineLevel="1"/>
    <col min="55" max="56" width="3.375" style="93" customWidth="1" outlineLevel="1"/>
    <col min="57" max="57" width="1.75" style="93" customWidth="1"/>
    <col min="58" max="58" width="7.75" style="93" customWidth="1" outlineLevel="1"/>
    <col min="59" max="59" width="7.25" style="277" customWidth="1" outlineLevel="1"/>
    <col min="60" max="60" width="7.5" style="93" customWidth="1" outlineLevel="1"/>
    <col min="61" max="64" width="4.5" style="93" customWidth="1" outlineLevel="1"/>
    <col min="65" max="65" width="6.625" style="93" customWidth="1" outlineLevel="1"/>
    <col min="66" max="67" width="3.375" style="93" customWidth="1" outlineLevel="1"/>
    <col min="68" max="68" width="1.25" style="14" customWidth="1" outlineLevel="1"/>
    <col min="69" max="69" width="6.375" style="15" customWidth="1" outlineLevel="1"/>
    <col min="70" max="70" width="7.375" style="279" customWidth="1" outlineLevel="1"/>
    <col min="71" max="71" width="7.875" style="279" customWidth="1" outlineLevel="1"/>
    <col min="72" max="72" width="6" style="14" customWidth="1" outlineLevel="1"/>
    <col min="73" max="73" width="4.625" style="14" customWidth="1" outlineLevel="1"/>
    <col min="74" max="74" width="4.125" style="14" customWidth="1" outlineLevel="1"/>
    <col min="75" max="75" width="3.75" style="14" customWidth="1" outlineLevel="1"/>
    <col min="76" max="76" width="5.625" style="14" customWidth="1" outlineLevel="1"/>
    <col min="77" max="77" width="5.5" style="14" customWidth="1" outlineLevel="1"/>
    <col min="78" max="78" width="2.625" style="14" customWidth="1" outlineLevel="1"/>
    <col min="79" max="79" width="1.625" style="14" customWidth="1"/>
    <col min="80" max="80" width="9.75" style="15" customWidth="1" outlineLevel="1"/>
    <col min="81" max="81" width="8.5" style="279" customWidth="1" outlineLevel="1"/>
    <col min="82" max="82" width="8.5" style="15" customWidth="1" outlineLevel="1"/>
    <col min="83" max="83" width="4.5" style="14" customWidth="1" outlineLevel="1"/>
    <col min="84" max="84" width="4.875" style="14" customWidth="1" outlineLevel="1"/>
    <col min="85" max="85" width="4.125" style="14" customWidth="1" outlineLevel="1"/>
    <col min="86" max="86" width="4" style="14" customWidth="1" outlineLevel="1"/>
    <col min="87" max="87" width="6.25" style="14" customWidth="1" outlineLevel="1"/>
    <col min="88" max="89" width="3.125" style="14" customWidth="1" outlineLevel="1"/>
    <col min="90" max="90" width="2" style="14" customWidth="1"/>
    <col min="91" max="91" width="7.25" style="14" customWidth="1"/>
    <col min="92" max="94" width="5.125" style="14" customWidth="1"/>
    <col min="95" max="95" width="6.375" style="14" customWidth="1"/>
    <col min="96" max="96" width="5.75" style="14" customWidth="1"/>
    <col min="97" max="97" width="4.875" style="14" customWidth="1"/>
    <col min="98" max="16384" width="9" style="14"/>
  </cols>
  <sheetData>
    <row r="1" spans="1:97" ht="18" customHeight="1" x14ac:dyDescent="0.25">
      <c r="A1" s="483" t="s">
        <v>34</v>
      </c>
      <c r="B1" s="486" t="s">
        <v>1</v>
      </c>
      <c r="C1" s="489" t="s">
        <v>35</v>
      </c>
      <c r="D1" s="492" t="s">
        <v>342</v>
      </c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  <c r="AZ1" s="493"/>
      <c r="BA1" s="493"/>
      <c r="BB1" s="493"/>
      <c r="BC1" s="493"/>
      <c r="BD1" s="493"/>
      <c r="BE1" s="493"/>
      <c r="BF1" s="493"/>
      <c r="BG1" s="493"/>
      <c r="BH1" s="493"/>
      <c r="BI1" s="493"/>
      <c r="BJ1" s="493"/>
      <c r="BK1" s="493"/>
      <c r="BL1" s="493"/>
      <c r="BM1" s="493"/>
      <c r="BN1" s="493"/>
      <c r="BO1" s="493"/>
      <c r="BP1" s="493"/>
      <c r="BQ1" s="493"/>
      <c r="BR1" s="493"/>
      <c r="BS1" s="493"/>
      <c r="BT1" s="493"/>
      <c r="BU1" s="493"/>
      <c r="BV1" s="493"/>
      <c r="BW1" s="493"/>
      <c r="BX1" s="493"/>
      <c r="BY1" s="493"/>
      <c r="BZ1" s="493"/>
      <c r="CA1" s="493"/>
      <c r="CB1" s="493"/>
      <c r="CC1" s="493"/>
      <c r="CD1" s="493"/>
      <c r="CE1" s="493"/>
      <c r="CF1" s="493"/>
      <c r="CG1" s="493"/>
      <c r="CH1" s="493"/>
      <c r="CI1" s="493"/>
      <c r="CJ1" s="493"/>
      <c r="CK1" s="494"/>
      <c r="CL1" s="317"/>
    </row>
    <row r="2" spans="1:97" ht="18.75" customHeight="1" x14ac:dyDescent="0.25">
      <c r="A2" s="484"/>
      <c r="B2" s="487"/>
      <c r="C2" s="490"/>
      <c r="D2" s="492"/>
      <c r="E2" s="479" t="s">
        <v>38</v>
      </c>
      <c r="F2" s="495" t="s">
        <v>39</v>
      </c>
      <c r="G2" s="496"/>
      <c r="H2" s="496"/>
      <c r="I2" s="496"/>
      <c r="J2" s="496"/>
      <c r="K2" s="496"/>
      <c r="L2" s="496"/>
      <c r="M2" s="128"/>
      <c r="N2" s="497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498"/>
      <c r="AY2" s="498"/>
      <c r="AZ2" s="498"/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498"/>
      <c r="BL2" s="498"/>
      <c r="BM2" s="498"/>
      <c r="BN2" s="498"/>
      <c r="BO2" s="498"/>
      <c r="BP2" s="498"/>
      <c r="BQ2" s="498"/>
      <c r="BR2" s="498"/>
      <c r="BS2" s="498"/>
      <c r="BT2" s="498"/>
      <c r="BU2" s="498"/>
      <c r="BV2" s="498"/>
      <c r="BW2" s="498"/>
      <c r="BX2" s="498"/>
      <c r="BY2" s="498"/>
      <c r="BZ2" s="498"/>
      <c r="CA2" s="498"/>
      <c r="CB2" s="498"/>
      <c r="CC2" s="498"/>
      <c r="CD2" s="498"/>
      <c r="CE2" s="498"/>
      <c r="CF2" s="498"/>
      <c r="CG2" s="498"/>
      <c r="CH2" s="498"/>
      <c r="CI2" s="498"/>
      <c r="CJ2" s="498"/>
      <c r="CK2" s="494"/>
      <c r="CL2" s="142"/>
    </row>
    <row r="3" spans="1:97" ht="22.5" customHeight="1" x14ac:dyDescent="0.25">
      <c r="A3" s="484"/>
      <c r="B3" s="487"/>
      <c r="C3" s="490"/>
      <c r="D3" s="492"/>
      <c r="E3" s="479"/>
      <c r="F3" s="479" t="s">
        <v>40</v>
      </c>
      <c r="G3" s="507" t="s">
        <v>41</v>
      </c>
      <c r="H3" s="508"/>
      <c r="I3" s="508"/>
      <c r="J3" s="509"/>
      <c r="K3" s="440"/>
      <c r="L3" s="440"/>
      <c r="M3" s="128"/>
      <c r="N3" s="500" t="s">
        <v>277</v>
      </c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2"/>
      <c r="AI3" s="136">
        <v>1</v>
      </c>
      <c r="AJ3" s="462" t="s">
        <v>43</v>
      </c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137">
        <v>2</v>
      </c>
      <c r="BF3" s="463" t="s">
        <v>44</v>
      </c>
      <c r="BG3" s="503"/>
      <c r="BH3" s="503"/>
      <c r="BI3" s="503"/>
      <c r="BJ3" s="503"/>
      <c r="BK3" s="503"/>
      <c r="BL3" s="503"/>
      <c r="BM3" s="503"/>
      <c r="BN3" s="503"/>
      <c r="BO3" s="503"/>
      <c r="BP3" s="503"/>
      <c r="BQ3" s="503"/>
      <c r="BR3" s="503"/>
      <c r="BS3" s="503"/>
      <c r="BT3" s="503"/>
      <c r="BU3" s="503"/>
      <c r="BV3" s="503"/>
      <c r="BW3" s="503"/>
      <c r="BX3" s="503"/>
      <c r="BY3" s="503"/>
      <c r="BZ3" s="318"/>
      <c r="CA3" s="138">
        <v>3</v>
      </c>
      <c r="CB3" s="504" t="s">
        <v>260</v>
      </c>
      <c r="CC3" s="505"/>
      <c r="CD3" s="505"/>
      <c r="CE3" s="505"/>
      <c r="CF3" s="505"/>
      <c r="CG3" s="505"/>
      <c r="CH3" s="505"/>
      <c r="CI3" s="505"/>
      <c r="CJ3" s="505"/>
      <c r="CK3" s="506"/>
      <c r="CL3" s="146">
        <v>4</v>
      </c>
    </row>
    <row r="4" spans="1:97" ht="16.5" customHeight="1" x14ac:dyDescent="0.25">
      <c r="A4" s="484"/>
      <c r="B4" s="487"/>
      <c r="C4" s="490"/>
      <c r="D4" s="492"/>
      <c r="E4" s="479"/>
      <c r="F4" s="499"/>
      <c r="G4" s="479" t="s">
        <v>266</v>
      </c>
      <c r="H4" s="480" t="s">
        <v>267</v>
      </c>
      <c r="I4" s="479" t="s">
        <v>286</v>
      </c>
      <c r="J4" s="479" t="s">
        <v>268</v>
      </c>
      <c r="K4" s="479" t="s">
        <v>269</v>
      </c>
      <c r="L4" s="468" t="s">
        <v>360</v>
      </c>
      <c r="M4" s="129"/>
      <c r="N4" s="470" t="s">
        <v>275</v>
      </c>
      <c r="O4" s="471"/>
      <c r="P4" s="471"/>
      <c r="Q4" s="471"/>
      <c r="R4" s="471"/>
      <c r="S4" s="471"/>
      <c r="T4" s="471"/>
      <c r="U4" s="471"/>
      <c r="V4" s="471"/>
      <c r="W4" s="472"/>
      <c r="X4" s="123"/>
      <c r="Y4" s="462" t="s">
        <v>276</v>
      </c>
      <c r="Z4" s="463"/>
      <c r="AA4" s="463"/>
      <c r="AB4" s="463"/>
      <c r="AC4" s="463"/>
      <c r="AD4" s="463"/>
      <c r="AE4" s="463"/>
      <c r="AF4" s="463"/>
      <c r="AG4" s="463"/>
      <c r="AH4" s="464"/>
      <c r="AI4" s="123"/>
      <c r="AJ4" s="473" t="s">
        <v>300</v>
      </c>
      <c r="AK4" s="474"/>
      <c r="AL4" s="474"/>
      <c r="AM4" s="474"/>
      <c r="AN4" s="474"/>
      <c r="AO4" s="474"/>
      <c r="AP4" s="474"/>
      <c r="AQ4" s="474"/>
      <c r="AR4" s="474"/>
      <c r="AS4" s="472"/>
      <c r="AT4" s="116"/>
      <c r="AU4" s="462" t="s">
        <v>338</v>
      </c>
      <c r="AV4" s="475"/>
      <c r="AW4" s="475"/>
      <c r="AX4" s="475"/>
      <c r="AY4" s="475"/>
      <c r="AZ4" s="475"/>
      <c r="BA4" s="475"/>
      <c r="BB4" s="475"/>
      <c r="BC4" s="475"/>
      <c r="BD4" s="476"/>
      <c r="BE4" s="122"/>
      <c r="BF4" s="477" t="s">
        <v>299</v>
      </c>
      <c r="BG4" s="478"/>
      <c r="BH4" s="478"/>
      <c r="BI4" s="478"/>
      <c r="BJ4" s="478"/>
      <c r="BK4" s="478"/>
      <c r="BL4" s="478"/>
      <c r="BM4" s="478"/>
      <c r="BN4" s="478"/>
      <c r="BO4" s="476"/>
      <c r="BP4" s="123"/>
      <c r="BQ4" s="462" t="s">
        <v>339</v>
      </c>
      <c r="BR4" s="463"/>
      <c r="BS4" s="463"/>
      <c r="BT4" s="463"/>
      <c r="BU4" s="463"/>
      <c r="BV4" s="463"/>
      <c r="BW4" s="463"/>
      <c r="BX4" s="463"/>
      <c r="BY4" s="463"/>
      <c r="BZ4" s="464"/>
      <c r="CA4" s="123"/>
      <c r="CB4" s="465" t="s">
        <v>301</v>
      </c>
      <c r="CC4" s="466"/>
      <c r="CD4" s="466"/>
      <c r="CE4" s="466"/>
      <c r="CF4" s="466"/>
      <c r="CG4" s="466"/>
      <c r="CH4" s="466"/>
      <c r="CI4" s="466"/>
      <c r="CJ4" s="466"/>
      <c r="CK4" s="467"/>
      <c r="CL4" s="143"/>
      <c r="CM4" s="592"/>
      <c r="CN4" s="596"/>
      <c r="CO4" s="596"/>
      <c r="CP4" s="596"/>
      <c r="CQ4" s="597"/>
    </row>
    <row r="5" spans="1:97" s="211" customFormat="1" ht="81.75" customHeight="1" x14ac:dyDescent="0.25">
      <c r="A5" s="485"/>
      <c r="B5" s="488"/>
      <c r="C5" s="491"/>
      <c r="D5" s="492"/>
      <c r="E5" s="482"/>
      <c r="F5" s="482"/>
      <c r="G5" s="479"/>
      <c r="H5" s="481"/>
      <c r="I5" s="479"/>
      <c r="J5" s="479"/>
      <c r="K5" s="482"/>
      <c r="L5" s="469"/>
      <c r="M5" s="197"/>
      <c r="N5" s="198" t="s">
        <v>272</v>
      </c>
      <c r="O5" s="257" t="s">
        <v>227</v>
      </c>
      <c r="P5" s="199" t="s">
        <v>273</v>
      </c>
      <c r="Q5" s="200" t="s">
        <v>274</v>
      </c>
      <c r="R5" s="201" t="s">
        <v>271</v>
      </c>
      <c r="S5" s="202" t="s">
        <v>283</v>
      </c>
      <c r="T5" s="203" t="s">
        <v>284</v>
      </c>
      <c r="U5" s="204" t="s">
        <v>285</v>
      </c>
      <c r="V5" s="205" t="s">
        <v>270</v>
      </c>
      <c r="W5" s="206" t="s">
        <v>287</v>
      </c>
      <c r="X5" s="207"/>
      <c r="Y5" s="198" t="s">
        <v>272</v>
      </c>
      <c r="Z5" s="257" t="s">
        <v>227</v>
      </c>
      <c r="AA5" s="199" t="s">
        <v>273</v>
      </c>
      <c r="AB5" s="200" t="s">
        <v>274</v>
      </c>
      <c r="AC5" s="201" t="s">
        <v>271</v>
      </c>
      <c r="AD5" s="202" t="s">
        <v>283</v>
      </c>
      <c r="AE5" s="203" t="s">
        <v>284</v>
      </c>
      <c r="AF5" s="204" t="s">
        <v>285</v>
      </c>
      <c r="AG5" s="205" t="s">
        <v>270</v>
      </c>
      <c r="AH5" s="206" t="s">
        <v>287</v>
      </c>
      <c r="AI5" s="207"/>
      <c r="AJ5" s="198" t="s">
        <v>272</v>
      </c>
      <c r="AK5" s="257" t="s">
        <v>227</v>
      </c>
      <c r="AL5" s="199" t="s">
        <v>273</v>
      </c>
      <c r="AM5" s="200" t="s">
        <v>274</v>
      </c>
      <c r="AN5" s="201" t="s">
        <v>271</v>
      </c>
      <c r="AO5" s="202" t="s">
        <v>283</v>
      </c>
      <c r="AP5" s="203" t="s">
        <v>284</v>
      </c>
      <c r="AQ5" s="204" t="s">
        <v>285</v>
      </c>
      <c r="AR5" s="205" t="s">
        <v>270</v>
      </c>
      <c r="AS5" s="206" t="s">
        <v>287</v>
      </c>
      <c r="AT5" s="208"/>
      <c r="AU5" s="198" t="s">
        <v>272</v>
      </c>
      <c r="AV5" s="257" t="s">
        <v>227</v>
      </c>
      <c r="AW5" s="199" t="s">
        <v>273</v>
      </c>
      <c r="AX5" s="200" t="s">
        <v>274</v>
      </c>
      <c r="AY5" s="201" t="s">
        <v>271</v>
      </c>
      <c r="AZ5" s="202" t="s">
        <v>283</v>
      </c>
      <c r="BA5" s="203" t="s">
        <v>284</v>
      </c>
      <c r="BB5" s="204" t="s">
        <v>285</v>
      </c>
      <c r="BC5" s="205" t="s">
        <v>270</v>
      </c>
      <c r="BD5" s="206" t="s">
        <v>287</v>
      </c>
      <c r="BE5" s="208"/>
      <c r="BF5" s="281" t="s">
        <v>272</v>
      </c>
      <c r="BG5" s="282" t="s">
        <v>227</v>
      </c>
      <c r="BH5" s="199" t="s">
        <v>273</v>
      </c>
      <c r="BI5" s="284" t="s">
        <v>274</v>
      </c>
      <c r="BJ5" s="285" t="s">
        <v>271</v>
      </c>
      <c r="BK5" s="286" t="s">
        <v>283</v>
      </c>
      <c r="BL5" s="287" t="s">
        <v>284</v>
      </c>
      <c r="BM5" s="288" t="s">
        <v>285</v>
      </c>
      <c r="BN5" s="289" t="s">
        <v>270</v>
      </c>
      <c r="BO5" s="290" t="s">
        <v>287</v>
      </c>
      <c r="BP5" s="123"/>
      <c r="BQ5" s="281" t="s">
        <v>272</v>
      </c>
      <c r="BR5" s="282" t="s">
        <v>227</v>
      </c>
      <c r="BS5" s="283" t="s">
        <v>273</v>
      </c>
      <c r="BT5" s="284" t="s">
        <v>274</v>
      </c>
      <c r="BU5" s="285" t="s">
        <v>271</v>
      </c>
      <c r="BV5" s="286" t="s">
        <v>283</v>
      </c>
      <c r="BW5" s="287" t="s">
        <v>284</v>
      </c>
      <c r="BX5" s="288" t="s">
        <v>285</v>
      </c>
      <c r="BY5" s="289" t="s">
        <v>270</v>
      </c>
      <c r="BZ5" s="290" t="s">
        <v>287</v>
      </c>
      <c r="CA5" s="207"/>
      <c r="CB5" s="198" t="s">
        <v>272</v>
      </c>
      <c r="CC5" s="257" t="s">
        <v>227</v>
      </c>
      <c r="CD5" s="199" t="s">
        <v>273</v>
      </c>
      <c r="CE5" s="200" t="s">
        <v>274</v>
      </c>
      <c r="CF5" s="201" t="s">
        <v>271</v>
      </c>
      <c r="CG5" s="202" t="s">
        <v>283</v>
      </c>
      <c r="CH5" s="203" t="s">
        <v>284</v>
      </c>
      <c r="CI5" s="204" t="s">
        <v>285</v>
      </c>
      <c r="CJ5" s="205" t="s">
        <v>270</v>
      </c>
      <c r="CK5" s="206" t="s">
        <v>287</v>
      </c>
      <c r="CL5" s="209"/>
      <c r="CM5" s="592"/>
      <c r="CN5" s="598"/>
      <c r="CO5" s="598"/>
      <c r="CP5" s="598"/>
      <c r="CQ5" s="598"/>
      <c r="CR5" s="210"/>
      <c r="CS5" s="210"/>
    </row>
    <row r="6" spans="1:97" ht="19.5" customHeight="1" x14ac:dyDescent="0.25">
      <c r="A6" s="110" t="s">
        <v>49</v>
      </c>
      <c r="B6" s="212" t="s">
        <v>2</v>
      </c>
      <c r="C6" s="230"/>
      <c r="D6" s="188">
        <f>F6+K6+L6</f>
        <v>1476</v>
      </c>
      <c r="E6" s="112"/>
      <c r="F6" s="112">
        <f>P6+AA6+AL6+AW6+BH6+BS6+CD5:CD6</f>
        <v>1404</v>
      </c>
      <c r="G6" s="112">
        <f>Q6+AB6+AM6+AX6+BI6+BT6+CE6</f>
        <v>1237</v>
      </c>
      <c r="H6" s="112">
        <f>S6+AD6+AO6+AZ6+BK6+BV6+CG6</f>
        <v>0</v>
      </c>
      <c r="I6" s="112">
        <f>R6+AC6+AN6+AY6+BJ6+BU6+CF6</f>
        <v>167</v>
      </c>
      <c r="J6" s="112">
        <f>T6+AE6+AP6+BA6+BL6+BW6+CH6</f>
        <v>0</v>
      </c>
      <c r="K6" s="112">
        <f>U6+AF6+AQ6+BB6+BM6+BX6+CI6</f>
        <v>36</v>
      </c>
      <c r="L6" s="112">
        <f>V6+AG6+AR6+BC6+BN6+BY6+CJ6</f>
        <v>36</v>
      </c>
      <c r="M6" s="130"/>
      <c r="N6" s="114">
        <f t="shared" ref="N6:V6" si="0">N7+N17+N23</f>
        <v>612</v>
      </c>
      <c r="O6" s="258">
        <f t="shared" si="0"/>
        <v>36</v>
      </c>
      <c r="P6" s="114">
        <f t="shared" si="0"/>
        <v>612</v>
      </c>
      <c r="Q6" s="114">
        <f>Q7+Q17+Q23</f>
        <v>552</v>
      </c>
      <c r="R6" s="114">
        <f t="shared" si="0"/>
        <v>60</v>
      </c>
      <c r="S6" s="114">
        <f t="shared" si="0"/>
        <v>0</v>
      </c>
      <c r="T6" s="114">
        <f t="shared" si="0"/>
        <v>0</v>
      </c>
      <c r="U6" s="114">
        <f t="shared" si="0"/>
        <v>0</v>
      </c>
      <c r="V6" s="114">
        <f t="shared" si="0"/>
        <v>0</v>
      </c>
      <c r="W6" s="114"/>
      <c r="X6" s="75"/>
      <c r="Y6" s="114">
        <f t="shared" ref="Y6:AG6" si="1">Y7+Y17+Y23</f>
        <v>864</v>
      </c>
      <c r="Z6" s="258">
        <f t="shared" si="1"/>
        <v>36</v>
      </c>
      <c r="AA6" s="114">
        <f t="shared" si="1"/>
        <v>792</v>
      </c>
      <c r="AB6" s="114">
        <f t="shared" si="1"/>
        <v>685</v>
      </c>
      <c r="AC6" s="114">
        <f t="shared" si="1"/>
        <v>107</v>
      </c>
      <c r="AD6" s="114">
        <f t="shared" si="1"/>
        <v>0</v>
      </c>
      <c r="AE6" s="114">
        <f t="shared" si="1"/>
        <v>0</v>
      </c>
      <c r="AF6" s="114">
        <f t="shared" si="1"/>
        <v>36</v>
      </c>
      <c r="AG6" s="114">
        <f t="shared" si="1"/>
        <v>36</v>
      </c>
      <c r="AH6" s="114"/>
      <c r="AI6" s="75"/>
      <c r="AJ6" s="114">
        <f t="shared" ref="AJ6:AR6" si="2">AJ7+AJ17+AJ23</f>
        <v>0</v>
      </c>
      <c r="AK6" s="258">
        <f t="shared" si="2"/>
        <v>0</v>
      </c>
      <c r="AL6" s="114">
        <f t="shared" si="2"/>
        <v>0</v>
      </c>
      <c r="AM6" s="114">
        <f t="shared" si="2"/>
        <v>0</v>
      </c>
      <c r="AN6" s="114">
        <f t="shared" si="2"/>
        <v>0</v>
      </c>
      <c r="AO6" s="114">
        <f t="shared" si="2"/>
        <v>0</v>
      </c>
      <c r="AP6" s="114">
        <f t="shared" si="2"/>
        <v>0</v>
      </c>
      <c r="AQ6" s="114">
        <f t="shared" si="2"/>
        <v>0</v>
      </c>
      <c r="AR6" s="114">
        <f t="shared" si="2"/>
        <v>0</v>
      </c>
      <c r="AS6" s="114"/>
      <c r="AT6" s="75"/>
      <c r="AU6" s="114">
        <f t="shared" ref="AU6:BC6" si="3">AU7+AU17+AU23</f>
        <v>0</v>
      </c>
      <c r="AV6" s="258">
        <f t="shared" si="3"/>
        <v>0</v>
      </c>
      <c r="AW6" s="114">
        <f t="shared" si="3"/>
        <v>0</v>
      </c>
      <c r="AX6" s="114">
        <f t="shared" si="3"/>
        <v>0</v>
      </c>
      <c r="AY6" s="114">
        <f t="shared" si="3"/>
        <v>0</v>
      </c>
      <c r="AZ6" s="114">
        <f t="shared" si="3"/>
        <v>0</v>
      </c>
      <c r="BA6" s="114">
        <f t="shared" si="3"/>
        <v>0</v>
      </c>
      <c r="BB6" s="114">
        <f t="shared" si="3"/>
        <v>0</v>
      </c>
      <c r="BC6" s="114">
        <f t="shared" si="3"/>
        <v>0</v>
      </c>
      <c r="BD6" s="114"/>
      <c r="BE6" s="75"/>
      <c r="BF6" s="114">
        <f t="shared" ref="BF6:BN6" si="4">BF7+BF17+BF23</f>
        <v>0</v>
      </c>
      <c r="BG6" s="258">
        <f t="shared" si="4"/>
        <v>0</v>
      </c>
      <c r="BH6" s="114">
        <f t="shared" si="4"/>
        <v>0</v>
      </c>
      <c r="BI6" s="114">
        <f t="shared" si="4"/>
        <v>0</v>
      </c>
      <c r="BJ6" s="114">
        <f t="shared" si="4"/>
        <v>0</v>
      </c>
      <c r="BK6" s="114">
        <f t="shared" si="4"/>
        <v>0</v>
      </c>
      <c r="BL6" s="114">
        <f t="shared" si="4"/>
        <v>0</v>
      </c>
      <c r="BM6" s="114">
        <f t="shared" si="4"/>
        <v>0</v>
      </c>
      <c r="BN6" s="114">
        <f t="shared" si="4"/>
        <v>0</v>
      </c>
      <c r="BO6" s="114"/>
      <c r="BP6" s="75"/>
      <c r="BQ6" s="114">
        <f t="shared" ref="BQ6:BY6" si="5">BQ7+BQ17+BQ23</f>
        <v>0</v>
      </c>
      <c r="BR6" s="258">
        <f t="shared" si="5"/>
        <v>0</v>
      </c>
      <c r="BS6" s="258">
        <f t="shared" si="5"/>
        <v>0</v>
      </c>
      <c r="BT6" s="114">
        <f t="shared" si="5"/>
        <v>0</v>
      </c>
      <c r="BU6" s="114">
        <f t="shared" si="5"/>
        <v>0</v>
      </c>
      <c r="BV6" s="114">
        <f t="shared" si="5"/>
        <v>0</v>
      </c>
      <c r="BW6" s="114">
        <f t="shared" si="5"/>
        <v>0</v>
      </c>
      <c r="BX6" s="114">
        <f t="shared" si="5"/>
        <v>0</v>
      </c>
      <c r="BY6" s="114">
        <f t="shared" si="5"/>
        <v>0</v>
      </c>
      <c r="BZ6" s="114"/>
      <c r="CA6" s="75"/>
      <c r="CB6" s="114">
        <f t="shared" ref="CB6:CJ6" si="6">CB7+CB17+CB23</f>
        <v>0</v>
      </c>
      <c r="CC6" s="258">
        <f t="shared" si="6"/>
        <v>0</v>
      </c>
      <c r="CD6" s="114">
        <f t="shared" si="6"/>
        <v>0</v>
      </c>
      <c r="CE6" s="114">
        <f t="shared" si="6"/>
        <v>0</v>
      </c>
      <c r="CF6" s="114">
        <f t="shared" si="6"/>
        <v>0</v>
      </c>
      <c r="CG6" s="114">
        <f t="shared" si="6"/>
        <v>0</v>
      </c>
      <c r="CH6" s="114">
        <f t="shared" si="6"/>
        <v>0</v>
      </c>
      <c r="CI6" s="114">
        <f t="shared" si="6"/>
        <v>0</v>
      </c>
      <c r="CJ6" s="114">
        <f t="shared" si="6"/>
        <v>0</v>
      </c>
      <c r="CK6" s="114"/>
      <c r="CL6" s="144"/>
      <c r="CM6" s="15"/>
      <c r="CN6" s="595">
        <v>17</v>
      </c>
      <c r="CO6" s="595"/>
      <c r="CP6" s="595"/>
      <c r="CQ6" s="595">
        <v>1</v>
      </c>
      <c r="CR6" s="14">
        <v>36</v>
      </c>
      <c r="CS6" s="14">
        <v>32</v>
      </c>
    </row>
    <row r="7" spans="1:97" ht="20.100000000000001" customHeight="1" x14ac:dyDescent="0.25">
      <c r="A7" s="105" t="s">
        <v>238</v>
      </c>
      <c r="B7" s="213" t="s">
        <v>207</v>
      </c>
      <c r="C7" s="231"/>
      <c r="D7" s="108"/>
      <c r="E7" s="108"/>
      <c r="F7" s="108"/>
      <c r="G7" s="108"/>
      <c r="H7" s="108"/>
      <c r="I7" s="108"/>
      <c r="J7" s="108"/>
      <c r="K7" s="108"/>
      <c r="L7" s="108"/>
      <c r="M7" s="76"/>
      <c r="N7" s="107">
        <f>SUM(N8:N15)</f>
        <v>367</v>
      </c>
      <c r="O7" s="259">
        <f t="shared" ref="O7:V7" si="7">SUM(O8:O15)</f>
        <v>21.588235294117649</v>
      </c>
      <c r="P7" s="107">
        <f t="shared" si="7"/>
        <v>367</v>
      </c>
      <c r="Q7" s="107">
        <f t="shared" si="7"/>
        <v>367</v>
      </c>
      <c r="R7" s="107">
        <f t="shared" si="7"/>
        <v>0</v>
      </c>
      <c r="S7" s="107">
        <f t="shared" si="7"/>
        <v>0</v>
      </c>
      <c r="T7" s="107">
        <f t="shared" si="7"/>
        <v>0</v>
      </c>
      <c r="U7" s="107">
        <f t="shared" si="7"/>
        <v>0</v>
      </c>
      <c r="V7" s="107">
        <f t="shared" si="7"/>
        <v>0</v>
      </c>
      <c r="W7" s="107"/>
      <c r="X7" s="76"/>
      <c r="Y7" s="107">
        <f>SUM(Y8:Y15)</f>
        <v>567</v>
      </c>
      <c r="Z7" s="259">
        <f>SUM(Z8:Z15)</f>
        <v>23.59090909090909</v>
      </c>
      <c r="AA7" s="107">
        <f t="shared" ref="AA7:AG7" si="8">SUM(AA8:AA15)</f>
        <v>519</v>
      </c>
      <c r="AB7" s="107">
        <f t="shared" si="8"/>
        <v>460</v>
      </c>
      <c r="AC7" s="107">
        <f t="shared" si="8"/>
        <v>59</v>
      </c>
      <c r="AD7" s="107">
        <f t="shared" si="8"/>
        <v>0</v>
      </c>
      <c r="AE7" s="107">
        <f t="shared" si="8"/>
        <v>0</v>
      </c>
      <c r="AF7" s="107">
        <f t="shared" si="8"/>
        <v>24</v>
      </c>
      <c r="AG7" s="107">
        <f t="shared" si="8"/>
        <v>24</v>
      </c>
      <c r="AH7" s="107"/>
      <c r="AI7" s="76"/>
      <c r="AJ7" s="107">
        <f>SUM(AJ8:AJ15)</f>
        <v>0</v>
      </c>
      <c r="AK7" s="259">
        <f t="shared" ref="AK7:AR7" si="9">SUM(AK8:AK15)</f>
        <v>0</v>
      </c>
      <c r="AL7" s="107">
        <f t="shared" si="9"/>
        <v>0</v>
      </c>
      <c r="AM7" s="107">
        <f t="shared" si="9"/>
        <v>0</v>
      </c>
      <c r="AN7" s="107">
        <f t="shared" si="9"/>
        <v>0</v>
      </c>
      <c r="AO7" s="107">
        <f t="shared" si="9"/>
        <v>0</v>
      </c>
      <c r="AP7" s="107">
        <f t="shared" si="9"/>
        <v>0</v>
      </c>
      <c r="AQ7" s="107">
        <f t="shared" si="9"/>
        <v>0</v>
      </c>
      <c r="AR7" s="107">
        <f t="shared" si="9"/>
        <v>0</v>
      </c>
      <c r="AS7" s="107"/>
      <c r="AT7" s="77"/>
      <c r="AU7" s="107">
        <f>SUM(AU8:AU15)</f>
        <v>0</v>
      </c>
      <c r="AV7" s="259">
        <f t="shared" ref="AV7:BC7" si="10">SUM(AV8:AV15)</f>
        <v>0</v>
      </c>
      <c r="AW7" s="107">
        <f t="shared" si="10"/>
        <v>0</v>
      </c>
      <c r="AX7" s="107">
        <f t="shared" si="10"/>
        <v>0</v>
      </c>
      <c r="AY7" s="107">
        <f t="shared" si="10"/>
        <v>0</v>
      </c>
      <c r="AZ7" s="107">
        <f t="shared" si="10"/>
        <v>0</v>
      </c>
      <c r="BA7" s="107">
        <f t="shared" si="10"/>
        <v>0</v>
      </c>
      <c r="BB7" s="107">
        <f t="shared" si="10"/>
        <v>0</v>
      </c>
      <c r="BC7" s="107">
        <f t="shared" si="10"/>
        <v>0</v>
      </c>
      <c r="BD7" s="107"/>
      <c r="BE7" s="77"/>
      <c r="BF7" s="107">
        <f>SUM(BF8:BF15)</f>
        <v>0</v>
      </c>
      <c r="BG7" s="259">
        <f t="shared" ref="BG7:BN7" si="11">SUM(BG8:BG15)</f>
        <v>0</v>
      </c>
      <c r="BH7" s="107">
        <f t="shared" si="11"/>
        <v>0</v>
      </c>
      <c r="BI7" s="107">
        <f t="shared" si="11"/>
        <v>0</v>
      </c>
      <c r="BJ7" s="107">
        <f t="shared" si="11"/>
        <v>0</v>
      </c>
      <c r="BK7" s="107">
        <f t="shared" si="11"/>
        <v>0</v>
      </c>
      <c r="BL7" s="107">
        <f t="shared" si="11"/>
        <v>0</v>
      </c>
      <c r="BM7" s="107">
        <f t="shared" si="11"/>
        <v>0</v>
      </c>
      <c r="BN7" s="107">
        <f t="shared" si="11"/>
        <v>0</v>
      </c>
      <c r="BO7" s="107"/>
      <c r="BP7" s="76"/>
      <c r="BQ7" s="107">
        <f>SUM(BQ8:BQ15)</f>
        <v>0</v>
      </c>
      <c r="BR7" s="259">
        <f t="shared" ref="BR7:BY7" si="12">SUM(BR8:BR15)</f>
        <v>0</v>
      </c>
      <c r="BS7" s="259">
        <f t="shared" si="12"/>
        <v>0</v>
      </c>
      <c r="BT7" s="107">
        <f t="shared" si="12"/>
        <v>0</v>
      </c>
      <c r="BU7" s="107">
        <f t="shared" si="12"/>
        <v>0</v>
      </c>
      <c r="BV7" s="107">
        <f t="shared" si="12"/>
        <v>0</v>
      </c>
      <c r="BW7" s="107">
        <f t="shared" si="12"/>
        <v>0</v>
      </c>
      <c r="BX7" s="107">
        <f t="shared" si="12"/>
        <v>0</v>
      </c>
      <c r="BY7" s="107">
        <f t="shared" si="12"/>
        <v>0</v>
      </c>
      <c r="BZ7" s="107"/>
      <c r="CA7" s="76"/>
      <c r="CB7" s="107">
        <f>SUM(CB8:CB15)</f>
        <v>0</v>
      </c>
      <c r="CC7" s="259">
        <f t="shared" ref="CC7:CJ7" si="13">SUM(CC8:CC15)</f>
        <v>0</v>
      </c>
      <c r="CD7" s="107">
        <f t="shared" si="13"/>
        <v>0</v>
      </c>
      <c r="CE7" s="107">
        <f t="shared" si="13"/>
        <v>0</v>
      </c>
      <c r="CF7" s="107">
        <f t="shared" si="13"/>
        <v>0</v>
      </c>
      <c r="CG7" s="107">
        <f t="shared" si="13"/>
        <v>0</v>
      </c>
      <c r="CH7" s="107">
        <f t="shared" si="13"/>
        <v>0</v>
      </c>
      <c r="CI7" s="107">
        <f t="shared" si="13"/>
        <v>0</v>
      </c>
      <c r="CJ7" s="107">
        <f t="shared" si="13"/>
        <v>0</v>
      </c>
      <c r="CK7" s="107"/>
      <c r="CL7" s="131"/>
      <c r="CM7" s="15"/>
      <c r="CN7" s="35">
        <v>22</v>
      </c>
      <c r="CO7" s="35"/>
      <c r="CP7" s="35">
        <v>24</v>
      </c>
      <c r="CQ7" s="35">
        <v>2</v>
      </c>
    </row>
    <row r="8" spans="1:97" ht="20.100000000000001" customHeight="1" x14ac:dyDescent="0.25">
      <c r="A8" s="6" t="s">
        <v>50</v>
      </c>
      <c r="B8" s="214" t="s">
        <v>3</v>
      </c>
      <c r="C8" s="232" t="s">
        <v>208</v>
      </c>
      <c r="D8" s="41">
        <f>N8+Y8+AJ8+AU8+BF8+BQ8+CB8</f>
        <v>102</v>
      </c>
      <c r="E8" s="49"/>
      <c r="F8" s="49">
        <f>P8+AA8+AL8+AW8+BH8+BS8+CD8</f>
        <v>78</v>
      </c>
      <c r="G8" s="49">
        <f>Q8+AB8+AM8+AX8+BI8+BT8+CE8</f>
        <v>78</v>
      </c>
      <c r="H8" s="49">
        <f>S8+AD8+AO8+AZ8+BK8+BV8+CG8</f>
        <v>0</v>
      </c>
      <c r="I8" s="49">
        <f>R8+AC8+AN8+AY8+BJ8+BU8+CF8</f>
        <v>0</v>
      </c>
      <c r="J8" s="49">
        <f>T8+AE8+AP8+BA8+BL8+BW8+CH8</f>
        <v>0</v>
      </c>
      <c r="K8" s="49">
        <f>U8+AF8+AQ8+BB8+BM8+BX8+CI8</f>
        <v>12</v>
      </c>
      <c r="L8" s="49">
        <f>V8+AG8+AR8+BC8+BN8+BY8+CJ8</f>
        <v>12</v>
      </c>
      <c r="M8" s="76"/>
      <c r="N8" s="92">
        <f>P8+U8+V8</f>
        <v>34</v>
      </c>
      <c r="O8" s="260">
        <v>2</v>
      </c>
      <c r="P8" s="95">
        <f>O8*$CN$6</f>
        <v>34</v>
      </c>
      <c r="Q8" s="96">
        <f>P8-R8</f>
        <v>34</v>
      </c>
      <c r="R8" s="83"/>
      <c r="S8" s="175"/>
      <c r="T8" s="171"/>
      <c r="U8" s="86"/>
      <c r="V8" s="89"/>
      <c r="W8" s="179" t="s">
        <v>237</v>
      </c>
      <c r="X8" s="76"/>
      <c r="Y8" s="92">
        <f t="shared" ref="Y8:Y15" si="14">AA8+AF8+AG8</f>
        <v>68</v>
      </c>
      <c r="Z8" s="260">
        <v>2</v>
      </c>
      <c r="AA8" s="95">
        <f>Z8*$CN$7</f>
        <v>44</v>
      </c>
      <c r="AB8" s="96">
        <f>AA8-AC8</f>
        <v>44</v>
      </c>
      <c r="AC8" s="83"/>
      <c r="AD8" s="175"/>
      <c r="AE8" s="171"/>
      <c r="AF8" s="86">
        <v>12</v>
      </c>
      <c r="AG8" s="89">
        <v>12</v>
      </c>
      <c r="AH8" s="179" t="s">
        <v>82</v>
      </c>
      <c r="AI8" s="76"/>
      <c r="AJ8" s="92">
        <f>AL8+AQ8+AR8</f>
        <v>0</v>
      </c>
      <c r="AK8" s="260"/>
      <c r="AL8" s="95">
        <f>AK8*$CN$8</f>
        <v>0</v>
      </c>
      <c r="AM8" s="96">
        <f>AL8-AN8</f>
        <v>0</v>
      </c>
      <c r="AN8" s="83"/>
      <c r="AO8" s="175"/>
      <c r="AP8" s="171"/>
      <c r="AQ8" s="86"/>
      <c r="AR8" s="89"/>
      <c r="AS8" s="179"/>
      <c r="AT8" s="77"/>
      <c r="AU8" s="92">
        <f t="shared" ref="AU8:AU15" si="15">AW8+BB8+BC8</f>
        <v>0</v>
      </c>
      <c r="AV8" s="260"/>
      <c r="AW8" s="95">
        <f>AV8*$CN$9</f>
        <v>0</v>
      </c>
      <c r="AX8" s="96">
        <f>AW8-AY8</f>
        <v>0</v>
      </c>
      <c r="AY8" s="83"/>
      <c r="AZ8" s="175"/>
      <c r="BA8" s="171"/>
      <c r="BB8" s="86"/>
      <c r="BC8" s="89"/>
      <c r="BD8" s="179"/>
      <c r="BE8" s="77"/>
      <c r="BF8" s="92">
        <f t="shared" ref="BF8:BF15" si="16">BH8+BM8+BN8</f>
        <v>0</v>
      </c>
      <c r="BG8" s="260"/>
      <c r="BH8" s="95">
        <f>BG8*$CN$10</f>
        <v>0</v>
      </c>
      <c r="BI8" s="96">
        <f>BH8-BJ8</f>
        <v>0</v>
      </c>
      <c r="BJ8" s="83"/>
      <c r="BK8" s="175"/>
      <c r="BL8" s="171"/>
      <c r="BM8" s="86"/>
      <c r="BN8" s="89"/>
      <c r="BO8" s="179"/>
      <c r="BP8" s="76"/>
      <c r="BQ8" s="92">
        <f t="shared" ref="BQ8:BQ15" si="17">BS8+BX8+BY8</f>
        <v>0</v>
      </c>
      <c r="BR8" s="260"/>
      <c r="BS8" s="324">
        <f>BR8*$CN$11</f>
        <v>0</v>
      </c>
      <c r="BT8" s="96">
        <f>BS8-BU8</f>
        <v>0</v>
      </c>
      <c r="BU8" s="83"/>
      <c r="BV8" s="175"/>
      <c r="BW8" s="171"/>
      <c r="BX8" s="86"/>
      <c r="BY8" s="89"/>
      <c r="BZ8" s="179"/>
      <c r="CA8" s="76"/>
      <c r="CB8" s="92">
        <f t="shared" ref="CB8:CB15" si="18">CD8+CI8+CJ8</f>
        <v>0</v>
      </c>
      <c r="CC8" s="260"/>
      <c r="CD8" s="95">
        <f>CC8*$CN$12</f>
        <v>0</v>
      </c>
      <c r="CE8" s="96">
        <f>CD8-CF8</f>
        <v>0</v>
      </c>
      <c r="CF8" s="83"/>
      <c r="CG8" s="175"/>
      <c r="CH8" s="171"/>
      <c r="CI8" s="86"/>
      <c r="CJ8" s="89"/>
      <c r="CK8" s="179"/>
      <c r="CL8" s="131"/>
      <c r="CM8" s="15"/>
      <c r="CN8" s="35">
        <v>15</v>
      </c>
      <c r="CO8" s="35">
        <v>17</v>
      </c>
      <c r="CP8" s="35"/>
      <c r="CQ8" s="35">
        <v>3</v>
      </c>
    </row>
    <row r="9" spans="1:97" ht="20.100000000000001" customHeight="1" x14ac:dyDescent="0.25">
      <c r="A9" s="6" t="s">
        <v>51</v>
      </c>
      <c r="B9" s="214" t="s">
        <v>4</v>
      </c>
      <c r="C9" s="233" t="s">
        <v>209</v>
      </c>
      <c r="D9" s="41">
        <f>N9+Y9+AJ9+AU9+BF9+BQ9+CB9</f>
        <v>117</v>
      </c>
      <c r="E9" s="49"/>
      <c r="F9" s="49">
        <f>P9+AA9+AL9+AW9+BH9+BS9+CD9</f>
        <v>117</v>
      </c>
      <c r="G9" s="49">
        <f>Q9+AB9+AM9+AX9+BI9+BT9+CE9</f>
        <v>117</v>
      </c>
      <c r="H9" s="49">
        <f>S9+AD9+AO9+AZ9+BK9+BV9+CG9</f>
        <v>0</v>
      </c>
      <c r="I9" s="49">
        <f>R9+AC9+AN9+AY9+BJ9+BU9+CF9</f>
        <v>0</v>
      </c>
      <c r="J9" s="49">
        <f>T9+AE9+AP9+BA9+BL9+BW9+CH9</f>
        <v>0</v>
      </c>
      <c r="K9" s="49">
        <f>U9+AF9+AQ9+BB9+BM9+BX9+CI9</f>
        <v>0</v>
      </c>
      <c r="L9" s="49">
        <f>V9+AG9+AR9+BC9+BN9+BY9+CJ9</f>
        <v>0</v>
      </c>
      <c r="M9" s="124"/>
      <c r="N9" s="92">
        <f>P9+U9+V9</f>
        <v>48</v>
      </c>
      <c r="O9" s="260">
        <f>P9/17</f>
        <v>2.8235294117647061</v>
      </c>
      <c r="P9" s="95">
        <v>48</v>
      </c>
      <c r="Q9" s="96">
        <f t="shared" ref="Q9:Q15" si="19">P9-R9</f>
        <v>48</v>
      </c>
      <c r="R9" s="83"/>
      <c r="S9" s="175"/>
      <c r="T9" s="171"/>
      <c r="U9" s="86"/>
      <c r="V9" s="89"/>
      <c r="W9" s="179" t="s">
        <v>237</v>
      </c>
      <c r="X9" s="77"/>
      <c r="Y9" s="92">
        <f t="shared" si="14"/>
        <v>69</v>
      </c>
      <c r="Z9" s="260">
        <f>AA9/22</f>
        <v>3.1363636363636362</v>
      </c>
      <c r="AA9" s="95">
        <v>69</v>
      </c>
      <c r="AB9" s="96">
        <f t="shared" ref="AB9:AB15" si="20">AA9-AC9</f>
        <v>69</v>
      </c>
      <c r="AC9" s="83"/>
      <c r="AD9" s="175"/>
      <c r="AE9" s="171"/>
      <c r="AF9" s="86"/>
      <c r="AG9" s="89"/>
      <c r="AH9" s="179" t="s">
        <v>95</v>
      </c>
      <c r="AI9" s="77"/>
      <c r="AJ9" s="92">
        <f>AL9+AQ9+AR9</f>
        <v>0</v>
      </c>
      <c r="AK9" s="260"/>
      <c r="AL9" s="95">
        <f t="shared" ref="AL9:AL15" si="21">AK9*$CN$8</f>
        <v>0</v>
      </c>
      <c r="AM9" s="96">
        <f t="shared" ref="AM9:AM16" si="22">AL9-AN9</f>
        <v>0</v>
      </c>
      <c r="AN9" s="83"/>
      <c r="AO9" s="175"/>
      <c r="AP9" s="171"/>
      <c r="AQ9" s="86"/>
      <c r="AR9" s="89"/>
      <c r="AS9" s="179"/>
      <c r="AT9" s="77"/>
      <c r="AU9" s="92">
        <f t="shared" si="15"/>
        <v>0</v>
      </c>
      <c r="AV9" s="260"/>
      <c r="AW9" s="95">
        <f t="shared" ref="AW9:AW15" si="23">AV9*$CN$9</f>
        <v>0</v>
      </c>
      <c r="AX9" s="96">
        <f t="shared" ref="AX9:AX15" si="24">AW9-AY9</f>
        <v>0</v>
      </c>
      <c r="AY9" s="83"/>
      <c r="AZ9" s="175"/>
      <c r="BA9" s="171"/>
      <c r="BB9" s="86"/>
      <c r="BC9" s="89"/>
      <c r="BD9" s="179"/>
      <c r="BE9" s="77"/>
      <c r="BF9" s="92">
        <f t="shared" si="16"/>
        <v>0</v>
      </c>
      <c r="BG9" s="260"/>
      <c r="BH9" s="95">
        <f t="shared" ref="BH9:BH15" si="25">BG9*$CN$10</f>
        <v>0</v>
      </c>
      <c r="BI9" s="96">
        <f t="shared" ref="BI9:BI15" si="26">BH9-BJ9</f>
        <v>0</v>
      </c>
      <c r="BJ9" s="83"/>
      <c r="BK9" s="175"/>
      <c r="BL9" s="171"/>
      <c r="BM9" s="86"/>
      <c r="BN9" s="89"/>
      <c r="BO9" s="179"/>
      <c r="BP9" s="77"/>
      <c r="BQ9" s="92">
        <f t="shared" si="17"/>
        <v>0</v>
      </c>
      <c r="BR9" s="260"/>
      <c r="BS9" s="324">
        <f t="shared" ref="BS9:BS15" si="27">BR9*$CN$11</f>
        <v>0</v>
      </c>
      <c r="BT9" s="96">
        <f t="shared" ref="BT9:BT15" si="28">BS9-BU9</f>
        <v>0</v>
      </c>
      <c r="BU9" s="83"/>
      <c r="BV9" s="175"/>
      <c r="BW9" s="171"/>
      <c r="BX9" s="86"/>
      <c r="BY9" s="89"/>
      <c r="BZ9" s="179"/>
      <c r="CA9" s="77"/>
      <c r="CB9" s="92">
        <f t="shared" si="18"/>
        <v>0</v>
      </c>
      <c r="CC9" s="260"/>
      <c r="CD9" s="95">
        <f t="shared" ref="CD9:CD15" si="29">CC9*$CN$12</f>
        <v>0</v>
      </c>
      <c r="CE9" s="96">
        <f t="shared" ref="CE9:CE15" si="30">CD9-CF9</f>
        <v>0</v>
      </c>
      <c r="CF9" s="83"/>
      <c r="CG9" s="175"/>
      <c r="CH9" s="171"/>
      <c r="CI9" s="86"/>
      <c r="CJ9" s="89"/>
      <c r="CK9" s="179"/>
      <c r="CL9" s="131"/>
      <c r="CM9" s="15"/>
      <c r="CN9" s="35">
        <v>20</v>
      </c>
      <c r="CO9" s="35">
        <v>23</v>
      </c>
      <c r="CP9" s="35"/>
      <c r="CQ9" s="35">
        <v>4</v>
      </c>
    </row>
    <row r="10" spans="1:97" ht="20.100000000000001" customHeight="1" x14ac:dyDescent="0.25">
      <c r="A10" s="6" t="s">
        <v>52</v>
      </c>
      <c r="B10" s="214" t="s">
        <v>5</v>
      </c>
      <c r="C10" s="233" t="s">
        <v>209</v>
      </c>
      <c r="D10" s="41">
        <f>N10+Y10+AJ10+AU10+BF10+BQ10+CB10</f>
        <v>117</v>
      </c>
      <c r="E10" s="49"/>
      <c r="F10" s="49">
        <f>P10+AA10+AL10+AW10+BH10+BS10+CD10</f>
        <v>117</v>
      </c>
      <c r="G10" s="49">
        <f>Q10+AB10+AM10+AX10+BI10+BT10+CE10</f>
        <v>58</v>
      </c>
      <c r="H10" s="49">
        <f>S10+AD10+AO10+AZ10+BK10+BV10+CG10</f>
        <v>0</v>
      </c>
      <c r="I10" s="49">
        <f>R10+AC10+AN10+AY10+BJ10+BU10+CF10</f>
        <v>59</v>
      </c>
      <c r="J10" s="49">
        <f>T10+AE10+AP10+BA10+BL10+BW10+CH10</f>
        <v>0</v>
      </c>
      <c r="K10" s="49">
        <f>U10+AF10+AQ10+BB10+BM10+BX10+CI10</f>
        <v>0</v>
      </c>
      <c r="L10" s="49">
        <f>V10+AG10+AR10+BC10+BN10+BY10+CJ10</f>
        <v>0</v>
      </c>
      <c r="M10" s="131"/>
      <c r="N10" s="92">
        <f>P10+U10+V10</f>
        <v>51</v>
      </c>
      <c r="O10" s="260">
        <v>3</v>
      </c>
      <c r="P10" s="95">
        <f>O10*$CN$6</f>
        <v>51</v>
      </c>
      <c r="Q10" s="96">
        <f t="shared" si="19"/>
        <v>51</v>
      </c>
      <c r="R10" s="83"/>
      <c r="S10" s="175"/>
      <c r="T10" s="171"/>
      <c r="U10" s="86"/>
      <c r="V10" s="89"/>
      <c r="W10" s="180" t="s">
        <v>237</v>
      </c>
      <c r="X10" s="134"/>
      <c r="Y10" s="92">
        <f t="shared" si="14"/>
        <v>66</v>
      </c>
      <c r="Z10" s="260">
        <v>3</v>
      </c>
      <c r="AA10" s="95">
        <f>Z10*$CN$7</f>
        <v>66</v>
      </c>
      <c r="AB10" s="96">
        <f t="shared" si="20"/>
        <v>7</v>
      </c>
      <c r="AC10" s="83">
        <v>59</v>
      </c>
      <c r="AD10" s="175"/>
      <c r="AE10" s="171"/>
      <c r="AF10" s="86"/>
      <c r="AG10" s="89"/>
      <c r="AH10" s="180" t="s">
        <v>95</v>
      </c>
      <c r="AI10" s="77"/>
      <c r="AJ10" s="92">
        <f>AL10+AQ10+AR10</f>
        <v>0</v>
      </c>
      <c r="AK10" s="260"/>
      <c r="AL10" s="95">
        <f t="shared" si="21"/>
        <v>0</v>
      </c>
      <c r="AM10" s="96">
        <f t="shared" si="22"/>
        <v>0</v>
      </c>
      <c r="AN10" s="83"/>
      <c r="AO10" s="175"/>
      <c r="AP10" s="171"/>
      <c r="AQ10" s="86"/>
      <c r="AR10" s="89"/>
      <c r="AS10" s="180"/>
      <c r="AT10" s="77"/>
      <c r="AU10" s="92">
        <f t="shared" si="15"/>
        <v>0</v>
      </c>
      <c r="AV10" s="260"/>
      <c r="AW10" s="95">
        <f t="shared" si="23"/>
        <v>0</v>
      </c>
      <c r="AX10" s="96">
        <f t="shared" si="24"/>
        <v>0</v>
      </c>
      <c r="AY10" s="83"/>
      <c r="AZ10" s="175"/>
      <c r="BA10" s="171"/>
      <c r="BB10" s="86"/>
      <c r="BC10" s="89"/>
      <c r="BD10" s="180"/>
      <c r="BE10" s="77"/>
      <c r="BF10" s="92">
        <f t="shared" si="16"/>
        <v>0</v>
      </c>
      <c r="BG10" s="260"/>
      <c r="BH10" s="95">
        <f t="shared" si="25"/>
        <v>0</v>
      </c>
      <c r="BI10" s="96">
        <f t="shared" si="26"/>
        <v>0</v>
      </c>
      <c r="BJ10" s="83"/>
      <c r="BK10" s="175"/>
      <c r="BL10" s="171"/>
      <c r="BM10" s="86"/>
      <c r="BN10" s="89"/>
      <c r="BO10" s="180"/>
      <c r="BP10" s="77"/>
      <c r="BQ10" s="92">
        <f t="shared" si="17"/>
        <v>0</v>
      </c>
      <c r="BR10" s="260"/>
      <c r="BS10" s="324">
        <f t="shared" si="27"/>
        <v>0</v>
      </c>
      <c r="BT10" s="96">
        <f t="shared" si="28"/>
        <v>0</v>
      </c>
      <c r="BU10" s="83"/>
      <c r="BV10" s="175"/>
      <c r="BW10" s="171"/>
      <c r="BX10" s="86"/>
      <c r="BY10" s="89"/>
      <c r="BZ10" s="180"/>
      <c r="CA10" s="77"/>
      <c r="CB10" s="92">
        <f t="shared" si="18"/>
        <v>0</v>
      </c>
      <c r="CC10" s="260"/>
      <c r="CD10" s="95">
        <f t="shared" si="29"/>
        <v>0</v>
      </c>
      <c r="CE10" s="96">
        <f t="shared" si="30"/>
        <v>0</v>
      </c>
      <c r="CF10" s="83"/>
      <c r="CG10" s="175"/>
      <c r="CH10" s="171"/>
      <c r="CI10" s="86"/>
      <c r="CJ10" s="89"/>
      <c r="CK10" s="180"/>
      <c r="CL10" s="131"/>
      <c r="CM10" s="15"/>
      <c r="CN10" s="35">
        <v>12</v>
      </c>
      <c r="CO10" s="35">
        <v>16</v>
      </c>
      <c r="CP10" s="35"/>
      <c r="CQ10" s="35">
        <v>5</v>
      </c>
    </row>
    <row r="11" spans="1:97" ht="20.100000000000001" customHeight="1" x14ac:dyDescent="0.25">
      <c r="A11" s="6" t="s">
        <v>53</v>
      </c>
      <c r="B11" s="214" t="s">
        <v>6</v>
      </c>
      <c r="C11" s="233" t="s">
        <v>209</v>
      </c>
      <c r="D11" s="41">
        <f>N11+Y11+AJ11+AU11+BF11+BQ11+CB11</f>
        <v>117</v>
      </c>
      <c r="E11" s="49"/>
      <c r="F11" s="49">
        <f>P11+AA11+AL11+AW11+BH11+BS11+CD11</f>
        <v>117</v>
      </c>
      <c r="G11" s="49">
        <f>Q11+AB11+AM11+AX11+BI11+BT11+CE11</f>
        <v>117</v>
      </c>
      <c r="H11" s="49">
        <f>S11+AD11+AO11+AZ11+BK11+BV11+CG11</f>
        <v>0</v>
      </c>
      <c r="I11" s="49">
        <f>R11+AC11+AN11+AY11+BJ11+BU11+CF11</f>
        <v>0</v>
      </c>
      <c r="J11" s="49">
        <f>T11+AE11+AP11+BA11+BL11+BW11+CH11</f>
        <v>0</v>
      </c>
      <c r="K11" s="49">
        <f>U11+AF11+AQ11+BB11+BM11+BX11+CI11</f>
        <v>0</v>
      </c>
      <c r="L11" s="49">
        <f>V11+AG11+AR11+BC11+BN11+BY11+CJ11</f>
        <v>0</v>
      </c>
      <c r="M11" s="131"/>
      <c r="N11" s="92">
        <f>P11+U11+V11</f>
        <v>51</v>
      </c>
      <c r="O11" s="260">
        <v>3</v>
      </c>
      <c r="P11" s="95">
        <f t="shared" ref="P11:P13" si="31">O11*$CN$6</f>
        <v>51</v>
      </c>
      <c r="Q11" s="96">
        <f t="shared" si="19"/>
        <v>51</v>
      </c>
      <c r="R11" s="83"/>
      <c r="S11" s="175"/>
      <c r="T11" s="171"/>
      <c r="U11" s="86"/>
      <c r="V11" s="89"/>
      <c r="W11" s="180" t="s">
        <v>237</v>
      </c>
      <c r="X11" s="134"/>
      <c r="Y11" s="92">
        <f t="shared" si="14"/>
        <v>66</v>
      </c>
      <c r="Z11" s="260">
        <v>3</v>
      </c>
      <c r="AA11" s="95">
        <f>Z11*$CN$7</f>
        <v>66</v>
      </c>
      <c r="AB11" s="96">
        <f t="shared" si="20"/>
        <v>66</v>
      </c>
      <c r="AC11" s="83"/>
      <c r="AD11" s="175"/>
      <c r="AE11" s="171"/>
      <c r="AF11" s="86"/>
      <c r="AG11" s="89"/>
      <c r="AH11" s="180" t="s">
        <v>95</v>
      </c>
      <c r="AI11" s="77"/>
      <c r="AJ11" s="92">
        <f>AL11+AQ11+AR11</f>
        <v>0</v>
      </c>
      <c r="AK11" s="260"/>
      <c r="AL11" s="95">
        <f t="shared" si="21"/>
        <v>0</v>
      </c>
      <c r="AM11" s="96">
        <f t="shared" si="22"/>
        <v>0</v>
      </c>
      <c r="AN11" s="83"/>
      <c r="AO11" s="175"/>
      <c r="AP11" s="171"/>
      <c r="AQ11" s="86"/>
      <c r="AR11" s="89"/>
      <c r="AS11" s="180"/>
      <c r="AT11" s="77"/>
      <c r="AU11" s="92">
        <f t="shared" si="15"/>
        <v>0</v>
      </c>
      <c r="AV11" s="260"/>
      <c r="AW11" s="95">
        <f t="shared" si="23"/>
        <v>0</v>
      </c>
      <c r="AX11" s="96">
        <f t="shared" si="24"/>
        <v>0</v>
      </c>
      <c r="AY11" s="83"/>
      <c r="AZ11" s="175"/>
      <c r="BA11" s="171"/>
      <c r="BB11" s="86"/>
      <c r="BC11" s="89"/>
      <c r="BD11" s="180"/>
      <c r="BE11" s="77"/>
      <c r="BF11" s="92">
        <f t="shared" si="16"/>
        <v>0</v>
      </c>
      <c r="BG11" s="260"/>
      <c r="BH11" s="95">
        <f t="shared" si="25"/>
        <v>0</v>
      </c>
      <c r="BI11" s="96">
        <f t="shared" si="26"/>
        <v>0</v>
      </c>
      <c r="BJ11" s="83"/>
      <c r="BK11" s="175"/>
      <c r="BL11" s="171"/>
      <c r="BM11" s="86"/>
      <c r="BN11" s="89"/>
      <c r="BO11" s="180"/>
      <c r="BP11" s="77"/>
      <c r="BQ11" s="92">
        <f t="shared" si="17"/>
        <v>0</v>
      </c>
      <c r="BR11" s="260"/>
      <c r="BS11" s="324">
        <f t="shared" si="27"/>
        <v>0</v>
      </c>
      <c r="BT11" s="96">
        <f t="shared" si="28"/>
        <v>0</v>
      </c>
      <c r="BU11" s="83"/>
      <c r="BV11" s="175"/>
      <c r="BW11" s="171"/>
      <c r="BX11" s="86"/>
      <c r="BY11" s="89"/>
      <c r="BZ11" s="180"/>
      <c r="CA11" s="77"/>
      <c r="CB11" s="92">
        <f t="shared" si="18"/>
        <v>0</v>
      </c>
      <c r="CC11" s="260"/>
      <c r="CD11" s="95">
        <f t="shared" si="29"/>
        <v>0</v>
      </c>
      <c r="CE11" s="96">
        <f t="shared" si="30"/>
        <v>0</v>
      </c>
      <c r="CF11" s="83"/>
      <c r="CG11" s="175"/>
      <c r="CH11" s="171"/>
      <c r="CI11" s="86"/>
      <c r="CJ11" s="89"/>
      <c r="CK11" s="180"/>
      <c r="CL11" s="131"/>
      <c r="CM11" s="15"/>
      <c r="CN11" s="35">
        <v>18</v>
      </c>
      <c r="CO11" s="35">
        <v>24</v>
      </c>
      <c r="CP11" s="35"/>
      <c r="CQ11" s="35">
        <v>6</v>
      </c>
    </row>
    <row r="12" spans="1:97" x14ac:dyDescent="0.25">
      <c r="A12" s="68" t="s">
        <v>243</v>
      </c>
      <c r="B12" s="227" t="s">
        <v>211</v>
      </c>
      <c r="C12" s="241" t="s">
        <v>95</v>
      </c>
      <c r="D12" s="41">
        <f>N12+Y12+AJ12+AU12+BF12+BQ12+CB12</f>
        <v>36</v>
      </c>
      <c r="E12" s="49"/>
      <c r="F12" s="49">
        <f>P12+AA12+AL12+AW12+BH12+BS12+CD12</f>
        <v>36</v>
      </c>
      <c r="G12" s="49">
        <f>Q12+AB12+AM12+AX12+BI12+BT12+CE12</f>
        <v>36</v>
      </c>
      <c r="H12" s="49">
        <f>S12+AD12+AO12+AZ12+BK12+BV12+CG12</f>
        <v>0</v>
      </c>
      <c r="I12" s="49">
        <f>R12+AC12+AN12+AY12+BJ12+BU12+CF12</f>
        <v>0</v>
      </c>
      <c r="J12" s="49">
        <f>T12+AE12+AP12+BA12+BL12+BW12+CH12</f>
        <v>0</v>
      </c>
      <c r="K12" s="49">
        <f>U12+AF12+AQ12+BB12+BM12+BX12+CI12</f>
        <v>0</v>
      </c>
      <c r="L12" s="49">
        <f>V12+AG12+AR12+BC12+BN12+BY12+CJ12</f>
        <v>0</v>
      </c>
      <c r="M12" s="81"/>
      <c r="N12" s="92">
        <f>P12+U12+V12</f>
        <v>0</v>
      </c>
      <c r="O12" s="270"/>
      <c r="P12" s="95">
        <f t="shared" si="31"/>
        <v>0</v>
      </c>
      <c r="Q12" s="96">
        <f t="shared" si="19"/>
        <v>0</v>
      </c>
      <c r="R12" s="117"/>
      <c r="S12" s="178"/>
      <c r="T12" s="174"/>
      <c r="U12" s="118"/>
      <c r="V12" s="115"/>
      <c r="W12" s="183"/>
      <c r="X12" s="81"/>
      <c r="Y12" s="169">
        <f t="shared" si="14"/>
        <v>36</v>
      </c>
      <c r="Z12" s="270">
        <f>AA12/22</f>
        <v>1.6363636363636365</v>
      </c>
      <c r="AA12" s="95">
        <v>36</v>
      </c>
      <c r="AB12" s="96">
        <f t="shared" si="20"/>
        <v>36</v>
      </c>
      <c r="AC12" s="117"/>
      <c r="AD12" s="178"/>
      <c r="AE12" s="174"/>
      <c r="AF12" s="118"/>
      <c r="AG12" s="167"/>
      <c r="AH12" s="183" t="s">
        <v>95</v>
      </c>
      <c r="AI12" s="81"/>
      <c r="AJ12" s="169"/>
      <c r="AK12" s="270"/>
      <c r="AL12" s="95">
        <f t="shared" si="21"/>
        <v>0</v>
      </c>
      <c r="AM12" s="96">
        <f t="shared" si="22"/>
        <v>0</v>
      </c>
      <c r="AN12" s="117"/>
      <c r="AO12" s="178"/>
      <c r="AP12" s="174"/>
      <c r="AQ12" s="118"/>
      <c r="AR12" s="115"/>
      <c r="AS12" s="182"/>
      <c r="AT12" s="119"/>
      <c r="AU12" s="92">
        <f t="shared" si="15"/>
        <v>0</v>
      </c>
      <c r="AV12" s="270"/>
      <c r="AW12" s="95">
        <f t="shared" si="23"/>
        <v>0</v>
      </c>
      <c r="AX12" s="96">
        <f t="shared" si="24"/>
        <v>0</v>
      </c>
      <c r="AY12" s="117"/>
      <c r="AZ12" s="178"/>
      <c r="BA12" s="174"/>
      <c r="BB12" s="118"/>
      <c r="BC12" s="115"/>
      <c r="BD12" s="183"/>
      <c r="BE12" s="121"/>
      <c r="BF12" s="92">
        <f t="shared" si="16"/>
        <v>0</v>
      </c>
      <c r="BG12" s="270"/>
      <c r="BH12" s="95">
        <f t="shared" si="25"/>
        <v>0</v>
      </c>
      <c r="BI12" s="96">
        <f t="shared" si="26"/>
        <v>0</v>
      </c>
      <c r="BJ12" s="117"/>
      <c r="BK12" s="178"/>
      <c r="BL12" s="174"/>
      <c r="BM12" s="118"/>
      <c r="BN12" s="115"/>
      <c r="BO12" s="183"/>
      <c r="BP12" s="81"/>
      <c r="BQ12" s="92">
        <f t="shared" si="17"/>
        <v>0</v>
      </c>
      <c r="BR12" s="270"/>
      <c r="BS12" s="324">
        <f t="shared" si="27"/>
        <v>0</v>
      </c>
      <c r="BT12" s="96">
        <f t="shared" si="28"/>
        <v>0</v>
      </c>
      <c r="BU12" s="117"/>
      <c r="BV12" s="178"/>
      <c r="BW12" s="174"/>
      <c r="BX12" s="118"/>
      <c r="BY12" s="115"/>
      <c r="BZ12" s="183"/>
      <c r="CA12" s="81"/>
      <c r="CB12" s="92">
        <f t="shared" si="18"/>
        <v>0</v>
      </c>
      <c r="CC12" s="270"/>
      <c r="CD12" s="95">
        <f t="shared" si="29"/>
        <v>0</v>
      </c>
      <c r="CE12" s="96">
        <f t="shared" si="30"/>
        <v>0</v>
      </c>
      <c r="CF12" s="117"/>
      <c r="CG12" s="178"/>
      <c r="CH12" s="174"/>
      <c r="CI12" s="118"/>
      <c r="CJ12" s="115"/>
      <c r="CK12" s="183"/>
      <c r="CL12" s="119"/>
      <c r="CN12" s="35">
        <v>17</v>
      </c>
      <c r="CO12" s="35">
        <v>30</v>
      </c>
      <c r="CP12" s="35"/>
      <c r="CQ12" s="35">
        <v>7</v>
      </c>
    </row>
    <row r="13" spans="1:97" ht="20.100000000000001" customHeight="1" x14ac:dyDescent="0.25">
      <c r="A13" s="6" t="s">
        <v>54</v>
      </c>
      <c r="B13" s="214" t="s">
        <v>9</v>
      </c>
      <c r="C13" s="233" t="s">
        <v>209</v>
      </c>
      <c r="D13" s="41">
        <f>N13+Y13+AJ13+AU13+BF13+BQ13+CB13</f>
        <v>117</v>
      </c>
      <c r="E13" s="49"/>
      <c r="F13" s="49">
        <f>P13+AA13+AL13+AW13+BH13+BS13+CD13</f>
        <v>117</v>
      </c>
      <c r="G13" s="49">
        <f>Q13+AB13+AM13+AX13+BI13+BT13+CE13</f>
        <v>117</v>
      </c>
      <c r="H13" s="49">
        <f>S13+AD13+AO13+AZ13+BK13+BV13+CG13</f>
        <v>0</v>
      </c>
      <c r="I13" s="49">
        <f>R13+AC13+AN13+AY13+BJ13+BU13+CF13</f>
        <v>0</v>
      </c>
      <c r="J13" s="49">
        <f>T13+AE13+AP13+BA13+BL13+BW13+CH13</f>
        <v>0</v>
      </c>
      <c r="K13" s="49">
        <f>U13+AF13+AQ13+BB13+BM13+BX13+CI13</f>
        <v>0</v>
      </c>
      <c r="L13" s="49">
        <f>V13+AG13+AR13+BC13+BN13+BY13+CJ13</f>
        <v>0</v>
      </c>
      <c r="M13" s="131"/>
      <c r="N13" s="92">
        <f>P13+U13+V13</f>
        <v>51</v>
      </c>
      <c r="O13" s="260">
        <v>3</v>
      </c>
      <c r="P13" s="95">
        <f t="shared" si="31"/>
        <v>51</v>
      </c>
      <c r="Q13" s="96">
        <f t="shared" si="19"/>
        <v>51</v>
      </c>
      <c r="R13" s="83"/>
      <c r="S13" s="175"/>
      <c r="T13" s="171"/>
      <c r="U13" s="86"/>
      <c r="V13" s="89"/>
      <c r="W13" s="181" t="s">
        <v>237</v>
      </c>
      <c r="X13" s="134"/>
      <c r="Y13" s="92">
        <f t="shared" si="14"/>
        <v>66</v>
      </c>
      <c r="Z13" s="260">
        <v>3</v>
      </c>
      <c r="AA13" s="95">
        <f>Z13*$CN$7</f>
        <v>66</v>
      </c>
      <c r="AB13" s="96">
        <f t="shared" si="20"/>
        <v>66</v>
      </c>
      <c r="AC13" s="83"/>
      <c r="AD13" s="175"/>
      <c r="AE13" s="171"/>
      <c r="AF13" s="86"/>
      <c r="AG13" s="89"/>
      <c r="AH13" s="181" t="s">
        <v>96</v>
      </c>
      <c r="AI13" s="124"/>
      <c r="AJ13" s="150">
        <f>AL13+AQ13+AR13</f>
        <v>0</v>
      </c>
      <c r="AK13" s="261"/>
      <c r="AL13" s="95">
        <f t="shared" si="21"/>
        <v>0</v>
      </c>
      <c r="AM13" s="96">
        <f t="shared" si="22"/>
        <v>0</v>
      </c>
      <c r="AN13" s="151"/>
      <c r="AO13" s="175"/>
      <c r="AP13" s="171"/>
      <c r="AQ13" s="152"/>
      <c r="AR13" s="153"/>
      <c r="AS13" s="181"/>
      <c r="AT13" s="124"/>
      <c r="AU13" s="150">
        <f t="shared" si="15"/>
        <v>0</v>
      </c>
      <c r="AV13" s="261"/>
      <c r="AW13" s="95">
        <f t="shared" si="23"/>
        <v>0</v>
      </c>
      <c r="AX13" s="96">
        <f t="shared" si="24"/>
        <v>0</v>
      </c>
      <c r="AY13" s="151"/>
      <c r="AZ13" s="175"/>
      <c r="BA13" s="171"/>
      <c r="BB13" s="152"/>
      <c r="BC13" s="153"/>
      <c r="BD13" s="181"/>
      <c r="BE13" s="124"/>
      <c r="BF13" s="150">
        <f t="shared" si="16"/>
        <v>0</v>
      </c>
      <c r="BG13" s="261"/>
      <c r="BH13" s="95">
        <f t="shared" si="25"/>
        <v>0</v>
      </c>
      <c r="BI13" s="96">
        <f t="shared" si="26"/>
        <v>0</v>
      </c>
      <c r="BJ13" s="151"/>
      <c r="BK13" s="175"/>
      <c r="BL13" s="171"/>
      <c r="BM13" s="152"/>
      <c r="BN13" s="153"/>
      <c r="BO13" s="181"/>
      <c r="BP13" s="124"/>
      <c r="BQ13" s="150">
        <f t="shared" si="17"/>
        <v>0</v>
      </c>
      <c r="BR13" s="261"/>
      <c r="BS13" s="324">
        <f t="shared" si="27"/>
        <v>0</v>
      </c>
      <c r="BT13" s="96">
        <f t="shared" si="28"/>
        <v>0</v>
      </c>
      <c r="BU13" s="151"/>
      <c r="BV13" s="175"/>
      <c r="BW13" s="171"/>
      <c r="BX13" s="152"/>
      <c r="BY13" s="153"/>
      <c r="BZ13" s="181"/>
      <c r="CA13" s="124"/>
      <c r="CB13" s="150">
        <f t="shared" si="18"/>
        <v>0</v>
      </c>
      <c r="CC13" s="261"/>
      <c r="CD13" s="95">
        <f t="shared" si="29"/>
        <v>0</v>
      </c>
      <c r="CE13" s="96">
        <f t="shared" si="30"/>
        <v>0</v>
      </c>
      <c r="CF13" s="151"/>
      <c r="CG13" s="175"/>
      <c r="CH13" s="171"/>
      <c r="CI13" s="152"/>
      <c r="CJ13" s="153"/>
      <c r="CK13" s="181"/>
      <c r="CL13" s="131"/>
      <c r="CM13" s="15"/>
    </row>
    <row r="14" spans="1:97" ht="20.100000000000001" customHeight="1" x14ac:dyDescent="0.25">
      <c r="A14" s="6" t="s">
        <v>55</v>
      </c>
      <c r="B14" s="214" t="s">
        <v>10</v>
      </c>
      <c r="C14" s="233" t="s">
        <v>209</v>
      </c>
      <c r="D14" s="41">
        <f>N14+Y14+AJ14+AU14+BF14+BQ14+CB14</f>
        <v>70</v>
      </c>
      <c r="E14" s="49"/>
      <c r="F14" s="49">
        <f>P14+AA14+AL14+AW14+BH14+BS14+CD14</f>
        <v>70</v>
      </c>
      <c r="G14" s="49">
        <f>Q14+AB14+AM14+AX14+BI14+BT14+CE14</f>
        <v>70</v>
      </c>
      <c r="H14" s="49">
        <f>S14+AD14+AO14+AZ14+BK14+BV14+CG14</f>
        <v>0</v>
      </c>
      <c r="I14" s="49">
        <f>R14+AC14+AN14+AY14+BJ14+BU14+CF14</f>
        <v>0</v>
      </c>
      <c r="J14" s="49">
        <f>T14+AE14+AP14+BA14+BL14+BW14+CH14</f>
        <v>0</v>
      </c>
      <c r="K14" s="49">
        <f>U14+AF14+AQ14+BB14+BM14+BX14+CI14</f>
        <v>0</v>
      </c>
      <c r="L14" s="49">
        <f>V14+AG14+AR14+BC14+BN14+BY14+CJ14</f>
        <v>0</v>
      </c>
      <c r="M14" s="127"/>
      <c r="N14" s="92">
        <f>P14+U14+V14</f>
        <v>30</v>
      </c>
      <c r="O14" s="260">
        <f>P14/17</f>
        <v>1.7647058823529411</v>
      </c>
      <c r="P14" s="95">
        <v>30</v>
      </c>
      <c r="Q14" s="96">
        <f t="shared" si="19"/>
        <v>30</v>
      </c>
      <c r="R14" s="83"/>
      <c r="S14" s="175"/>
      <c r="T14" s="171"/>
      <c r="U14" s="86"/>
      <c r="V14" s="147"/>
      <c r="W14" s="184" t="s">
        <v>237</v>
      </c>
      <c r="X14" s="135"/>
      <c r="Y14" s="92">
        <f t="shared" si="14"/>
        <v>40</v>
      </c>
      <c r="Z14" s="260">
        <f>AA14/22</f>
        <v>1.8181818181818181</v>
      </c>
      <c r="AA14" s="95">
        <v>40</v>
      </c>
      <c r="AB14" s="96">
        <f t="shared" si="20"/>
        <v>40</v>
      </c>
      <c r="AC14" s="83"/>
      <c r="AD14" s="175"/>
      <c r="AE14" s="171"/>
      <c r="AF14" s="86"/>
      <c r="AG14" s="147"/>
      <c r="AH14" s="184" t="s">
        <v>95</v>
      </c>
      <c r="AI14" s="104"/>
      <c r="AJ14" s="160">
        <f>AL14+AQ14+AR14</f>
        <v>0</v>
      </c>
      <c r="AK14" s="262"/>
      <c r="AL14" s="95">
        <f t="shared" si="21"/>
        <v>0</v>
      </c>
      <c r="AM14" s="96">
        <f t="shared" si="22"/>
        <v>0</v>
      </c>
      <c r="AN14" s="161"/>
      <c r="AO14" s="175"/>
      <c r="AP14" s="171"/>
      <c r="AQ14" s="162"/>
      <c r="AR14" s="163"/>
      <c r="AS14" s="184"/>
      <c r="AT14" s="104"/>
      <c r="AU14" s="160">
        <f t="shared" si="15"/>
        <v>0</v>
      </c>
      <c r="AV14" s="262"/>
      <c r="AW14" s="95">
        <f t="shared" si="23"/>
        <v>0</v>
      </c>
      <c r="AX14" s="96">
        <f t="shared" si="24"/>
        <v>0</v>
      </c>
      <c r="AY14" s="161"/>
      <c r="AZ14" s="175"/>
      <c r="BA14" s="171"/>
      <c r="BB14" s="162"/>
      <c r="BC14" s="163"/>
      <c r="BD14" s="184"/>
      <c r="BE14" s="104"/>
      <c r="BF14" s="160">
        <f t="shared" si="16"/>
        <v>0</v>
      </c>
      <c r="BG14" s="262"/>
      <c r="BH14" s="95">
        <f t="shared" si="25"/>
        <v>0</v>
      </c>
      <c r="BI14" s="96">
        <f t="shared" si="26"/>
        <v>0</v>
      </c>
      <c r="BJ14" s="161"/>
      <c r="BK14" s="175"/>
      <c r="BL14" s="171"/>
      <c r="BM14" s="162"/>
      <c r="BN14" s="163"/>
      <c r="BO14" s="184"/>
      <c r="BP14" s="104"/>
      <c r="BQ14" s="160">
        <f t="shared" si="17"/>
        <v>0</v>
      </c>
      <c r="BR14" s="262"/>
      <c r="BS14" s="324">
        <f t="shared" si="27"/>
        <v>0</v>
      </c>
      <c r="BT14" s="96">
        <f t="shared" si="28"/>
        <v>0</v>
      </c>
      <c r="BU14" s="161"/>
      <c r="BV14" s="175"/>
      <c r="BW14" s="171"/>
      <c r="BX14" s="162"/>
      <c r="BY14" s="163"/>
      <c r="BZ14" s="184"/>
      <c r="CA14" s="104"/>
      <c r="CB14" s="160">
        <f t="shared" si="18"/>
        <v>0</v>
      </c>
      <c r="CC14" s="262"/>
      <c r="CD14" s="95">
        <f t="shared" si="29"/>
        <v>0</v>
      </c>
      <c r="CE14" s="96">
        <f t="shared" si="30"/>
        <v>0</v>
      </c>
      <c r="CF14" s="161"/>
      <c r="CG14" s="175"/>
      <c r="CH14" s="171"/>
      <c r="CI14" s="162"/>
      <c r="CJ14" s="163"/>
      <c r="CK14" s="184"/>
      <c r="CL14" s="104"/>
      <c r="CM14" s="15"/>
    </row>
    <row r="15" spans="1:97" ht="20.100000000000001" customHeight="1" x14ac:dyDescent="0.25">
      <c r="A15" s="6" t="s">
        <v>56</v>
      </c>
      <c r="B15" s="214" t="s">
        <v>11</v>
      </c>
      <c r="C15" s="233" t="s">
        <v>208</v>
      </c>
      <c r="D15" s="41">
        <f>N15+Y15+AJ15+AU15+BF15+BQ15+CB15</f>
        <v>258</v>
      </c>
      <c r="E15" s="49"/>
      <c r="F15" s="49">
        <f>P15+AA15+AL15+AW15+BH15+BS15+CD15</f>
        <v>234</v>
      </c>
      <c r="G15" s="49">
        <f>Q15+AB15+AM15+AX15+BI15+BT15+CE15</f>
        <v>234</v>
      </c>
      <c r="H15" s="49">
        <f>S15+AD15+AO15+AZ15+BK15+BV15+CG15</f>
        <v>0</v>
      </c>
      <c r="I15" s="49">
        <f>R15+AC15+AN15+AY15+BJ15+BU15+CF15</f>
        <v>0</v>
      </c>
      <c r="J15" s="49">
        <f>T15+AE15+AP15+BA15+BL15+BW15+CH15</f>
        <v>0</v>
      </c>
      <c r="K15" s="49">
        <f>U15+AF15+AQ15+BB15+BM15+BX15+CI15</f>
        <v>12</v>
      </c>
      <c r="L15" s="49">
        <f>V15+AG15+AR15+BC15+BN15+BY15+CJ15</f>
        <v>12</v>
      </c>
      <c r="M15" s="127"/>
      <c r="N15" s="92">
        <f>P15+U15+V15</f>
        <v>102</v>
      </c>
      <c r="O15" s="260">
        <v>6</v>
      </c>
      <c r="P15" s="95">
        <f>O15*$CN$6</f>
        <v>102</v>
      </c>
      <c r="Q15" s="96">
        <f t="shared" si="19"/>
        <v>102</v>
      </c>
      <c r="R15" s="83"/>
      <c r="S15" s="175"/>
      <c r="T15" s="171"/>
      <c r="U15" s="86"/>
      <c r="V15" s="147"/>
      <c r="W15" s="184" t="s">
        <v>237</v>
      </c>
      <c r="X15" s="126"/>
      <c r="Y15" s="92">
        <f t="shared" si="14"/>
        <v>156</v>
      </c>
      <c r="Z15" s="260">
        <v>6</v>
      </c>
      <c r="AA15" s="95">
        <f>Z15*$CN$7</f>
        <v>132</v>
      </c>
      <c r="AB15" s="96">
        <f t="shared" si="20"/>
        <v>132</v>
      </c>
      <c r="AC15" s="83"/>
      <c r="AD15" s="175"/>
      <c r="AE15" s="171"/>
      <c r="AF15" s="86">
        <v>12</v>
      </c>
      <c r="AG15" s="147">
        <v>12</v>
      </c>
      <c r="AH15" s="184" t="s">
        <v>82</v>
      </c>
      <c r="AI15" s="104"/>
      <c r="AJ15" s="160">
        <f>AL15+AQ15+AR15</f>
        <v>0</v>
      </c>
      <c r="AK15" s="262"/>
      <c r="AL15" s="95">
        <f t="shared" si="21"/>
        <v>0</v>
      </c>
      <c r="AM15" s="96">
        <f t="shared" si="22"/>
        <v>0</v>
      </c>
      <c r="AN15" s="161"/>
      <c r="AO15" s="175"/>
      <c r="AP15" s="171"/>
      <c r="AQ15" s="162"/>
      <c r="AR15" s="163"/>
      <c r="AS15" s="184"/>
      <c r="AT15" s="104"/>
      <c r="AU15" s="160">
        <f t="shared" si="15"/>
        <v>0</v>
      </c>
      <c r="AV15" s="262"/>
      <c r="AW15" s="95">
        <f t="shared" si="23"/>
        <v>0</v>
      </c>
      <c r="AX15" s="96">
        <f t="shared" si="24"/>
        <v>0</v>
      </c>
      <c r="AY15" s="161"/>
      <c r="AZ15" s="175"/>
      <c r="BA15" s="171"/>
      <c r="BB15" s="162"/>
      <c r="BC15" s="163"/>
      <c r="BD15" s="184"/>
      <c r="BE15" s="104"/>
      <c r="BF15" s="160">
        <f t="shared" si="16"/>
        <v>0</v>
      </c>
      <c r="BG15" s="262"/>
      <c r="BH15" s="95">
        <f t="shared" si="25"/>
        <v>0</v>
      </c>
      <c r="BI15" s="96">
        <f t="shared" si="26"/>
        <v>0</v>
      </c>
      <c r="BJ15" s="161"/>
      <c r="BK15" s="175"/>
      <c r="BL15" s="171"/>
      <c r="BM15" s="162"/>
      <c r="BN15" s="163"/>
      <c r="BO15" s="184"/>
      <c r="BP15" s="104"/>
      <c r="BQ15" s="160">
        <f t="shared" si="17"/>
        <v>0</v>
      </c>
      <c r="BR15" s="262"/>
      <c r="BS15" s="324">
        <f t="shared" si="27"/>
        <v>0</v>
      </c>
      <c r="BT15" s="96">
        <f t="shared" si="28"/>
        <v>0</v>
      </c>
      <c r="BU15" s="161"/>
      <c r="BV15" s="175"/>
      <c r="BW15" s="171"/>
      <c r="BX15" s="162"/>
      <c r="BY15" s="163"/>
      <c r="BZ15" s="184"/>
      <c r="CA15" s="104"/>
      <c r="CB15" s="160">
        <f t="shared" si="18"/>
        <v>0</v>
      </c>
      <c r="CC15" s="262"/>
      <c r="CD15" s="95">
        <f t="shared" si="29"/>
        <v>0</v>
      </c>
      <c r="CE15" s="96">
        <f t="shared" si="30"/>
        <v>0</v>
      </c>
      <c r="CF15" s="161"/>
      <c r="CG15" s="175"/>
      <c r="CH15" s="171"/>
      <c r="CI15" s="162"/>
      <c r="CJ15" s="163"/>
      <c r="CK15" s="184"/>
      <c r="CL15" s="104"/>
      <c r="CM15" s="15"/>
    </row>
    <row r="16" spans="1:97" ht="6" customHeight="1" x14ac:dyDescent="0.25">
      <c r="A16" s="97"/>
      <c r="B16" s="215"/>
      <c r="C16" s="234"/>
      <c r="D16" s="103"/>
      <c r="E16" s="103"/>
      <c r="F16" s="103"/>
      <c r="G16" s="103"/>
      <c r="H16" s="103"/>
      <c r="I16" s="103"/>
      <c r="J16" s="103"/>
      <c r="K16" s="103"/>
      <c r="L16" s="103"/>
      <c r="M16" s="127"/>
      <c r="N16" s="77"/>
      <c r="O16" s="293"/>
      <c r="P16" s="77"/>
      <c r="Q16" s="77"/>
      <c r="R16" s="77"/>
      <c r="S16" s="77"/>
      <c r="T16" s="77"/>
      <c r="U16" s="77"/>
      <c r="V16" s="77"/>
      <c r="W16" s="133"/>
      <c r="X16" s="77"/>
      <c r="Y16" s="77"/>
      <c r="Z16" s="293"/>
      <c r="AA16" s="77"/>
      <c r="AB16" s="77"/>
      <c r="AC16" s="77"/>
      <c r="AD16" s="77"/>
      <c r="AE16" s="77"/>
      <c r="AF16" s="77"/>
      <c r="AG16" s="148"/>
      <c r="AH16" s="133"/>
      <c r="AI16" s="104"/>
      <c r="AJ16" s="104"/>
      <c r="AK16" s="263"/>
      <c r="AL16" s="104"/>
      <c r="AM16" s="96">
        <f t="shared" si="22"/>
        <v>0</v>
      </c>
      <c r="AN16" s="104"/>
      <c r="AO16" s="77"/>
      <c r="AP16" s="77"/>
      <c r="AQ16" s="104"/>
      <c r="AR16" s="104"/>
      <c r="AS16" s="133"/>
      <c r="AT16" s="104"/>
      <c r="AU16" s="104"/>
      <c r="AV16" s="263"/>
      <c r="AW16" s="104"/>
      <c r="AX16" s="104"/>
      <c r="AY16" s="104"/>
      <c r="AZ16" s="77"/>
      <c r="BA16" s="77"/>
      <c r="BB16" s="104"/>
      <c r="BC16" s="104"/>
      <c r="BD16" s="133"/>
      <c r="BE16" s="104"/>
      <c r="BF16" s="104"/>
      <c r="BG16" s="263"/>
      <c r="BH16" s="104"/>
      <c r="BI16" s="104"/>
      <c r="BJ16" s="104"/>
      <c r="BK16" s="77"/>
      <c r="BL16" s="77"/>
      <c r="BM16" s="104"/>
      <c r="BN16" s="104"/>
      <c r="BO16" s="133"/>
      <c r="BP16" s="104"/>
      <c r="BQ16" s="104"/>
      <c r="BR16" s="263"/>
      <c r="BS16" s="263"/>
      <c r="BT16" s="104"/>
      <c r="BU16" s="104"/>
      <c r="BV16" s="77"/>
      <c r="BW16" s="77"/>
      <c r="BX16" s="104"/>
      <c r="BY16" s="104"/>
      <c r="BZ16" s="133"/>
      <c r="CA16" s="104"/>
      <c r="CB16" s="104"/>
      <c r="CC16" s="263"/>
      <c r="CD16" s="104"/>
      <c r="CE16" s="104"/>
      <c r="CF16" s="104"/>
      <c r="CG16" s="77"/>
      <c r="CH16" s="77"/>
      <c r="CI16" s="104"/>
      <c r="CJ16" s="104"/>
      <c r="CK16" s="133"/>
      <c r="CL16" s="104"/>
      <c r="CM16" s="15"/>
    </row>
    <row r="17" spans="1:91" ht="31.5" customHeight="1" x14ac:dyDescent="0.25">
      <c r="A17" s="105" t="s">
        <v>239</v>
      </c>
      <c r="B17" s="213" t="s">
        <v>212</v>
      </c>
      <c r="C17" s="231"/>
      <c r="D17" s="108"/>
      <c r="E17" s="108"/>
      <c r="F17" s="108"/>
      <c r="G17" s="108"/>
      <c r="H17" s="108"/>
      <c r="I17" s="108"/>
      <c r="J17" s="108"/>
      <c r="K17" s="108"/>
      <c r="L17" s="108"/>
      <c r="M17" s="132"/>
      <c r="N17" s="107">
        <f t="shared" ref="N17:V17" si="32">SUM(N18:N22)</f>
        <v>206</v>
      </c>
      <c r="O17" s="259">
        <f t="shared" si="32"/>
        <v>12.117647058823529</v>
      </c>
      <c r="P17" s="107">
        <f t="shared" si="32"/>
        <v>206</v>
      </c>
      <c r="Q17" s="107">
        <f t="shared" si="32"/>
        <v>166</v>
      </c>
      <c r="R17" s="107">
        <f t="shared" si="32"/>
        <v>40</v>
      </c>
      <c r="S17" s="107">
        <f t="shared" si="32"/>
        <v>0</v>
      </c>
      <c r="T17" s="107">
        <f t="shared" si="32"/>
        <v>0</v>
      </c>
      <c r="U17" s="107">
        <f t="shared" si="32"/>
        <v>0</v>
      </c>
      <c r="V17" s="107">
        <f t="shared" si="32"/>
        <v>0</v>
      </c>
      <c r="W17" s="107"/>
      <c r="X17" s="126"/>
      <c r="Y17" s="107">
        <f t="shared" ref="Y17:AG17" si="33">SUM(Y18:Y22)</f>
        <v>297</v>
      </c>
      <c r="Z17" s="259">
        <f t="shared" si="33"/>
        <v>12.409090909090908</v>
      </c>
      <c r="AA17" s="107">
        <f t="shared" si="33"/>
        <v>273</v>
      </c>
      <c r="AB17" s="107">
        <f t="shared" si="33"/>
        <v>225</v>
      </c>
      <c r="AC17" s="107">
        <f t="shared" si="33"/>
        <v>48</v>
      </c>
      <c r="AD17" s="107">
        <f t="shared" si="33"/>
        <v>0</v>
      </c>
      <c r="AE17" s="107">
        <f t="shared" si="33"/>
        <v>0</v>
      </c>
      <c r="AF17" s="107">
        <f t="shared" si="33"/>
        <v>12</v>
      </c>
      <c r="AG17" s="149">
        <f t="shared" si="33"/>
        <v>12</v>
      </c>
      <c r="AH17" s="107"/>
      <c r="AI17" s="164"/>
      <c r="AJ17" s="165">
        <f t="shared" ref="AJ17:AR17" si="34">SUM(AJ18:AJ22)</f>
        <v>0</v>
      </c>
      <c r="AK17" s="264">
        <f t="shared" si="34"/>
        <v>0</v>
      </c>
      <c r="AL17" s="165">
        <f t="shared" si="34"/>
        <v>0</v>
      </c>
      <c r="AM17" s="165">
        <f t="shared" si="34"/>
        <v>0</v>
      </c>
      <c r="AN17" s="165">
        <f t="shared" si="34"/>
        <v>0</v>
      </c>
      <c r="AO17" s="107">
        <f t="shared" si="34"/>
        <v>0</v>
      </c>
      <c r="AP17" s="107">
        <f t="shared" si="34"/>
        <v>0</v>
      </c>
      <c r="AQ17" s="165">
        <f t="shared" si="34"/>
        <v>0</v>
      </c>
      <c r="AR17" s="165">
        <f t="shared" si="34"/>
        <v>0</v>
      </c>
      <c r="AS17" s="107"/>
      <c r="AT17" s="104"/>
      <c r="AU17" s="165">
        <f t="shared" ref="AU17:BC17" si="35">SUM(AU18:AU22)</f>
        <v>0</v>
      </c>
      <c r="AV17" s="264">
        <f t="shared" si="35"/>
        <v>0</v>
      </c>
      <c r="AW17" s="165">
        <f t="shared" si="35"/>
        <v>0</v>
      </c>
      <c r="AX17" s="165">
        <f t="shared" si="35"/>
        <v>0</v>
      </c>
      <c r="AY17" s="165">
        <f t="shared" si="35"/>
        <v>0</v>
      </c>
      <c r="AZ17" s="107">
        <f t="shared" si="35"/>
        <v>0</v>
      </c>
      <c r="BA17" s="107">
        <f t="shared" si="35"/>
        <v>0</v>
      </c>
      <c r="BB17" s="165">
        <f t="shared" si="35"/>
        <v>0</v>
      </c>
      <c r="BC17" s="165">
        <f t="shared" si="35"/>
        <v>0</v>
      </c>
      <c r="BD17" s="107"/>
      <c r="BE17" s="104"/>
      <c r="BF17" s="165">
        <f t="shared" ref="BF17:BN17" si="36">SUM(BF18:BF22)</f>
        <v>0</v>
      </c>
      <c r="BG17" s="264">
        <f t="shared" si="36"/>
        <v>0</v>
      </c>
      <c r="BH17" s="165">
        <f t="shared" si="36"/>
        <v>0</v>
      </c>
      <c r="BI17" s="165">
        <f t="shared" si="36"/>
        <v>0</v>
      </c>
      <c r="BJ17" s="165">
        <f t="shared" si="36"/>
        <v>0</v>
      </c>
      <c r="BK17" s="107">
        <f t="shared" si="36"/>
        <v>0</v>
      </c>
      <c r="BL17" s="107">
        <f t="shared" si="36"/>
        <v>0</v>
      </c>
      <c r="BM17" s="165">
        <f t="shared" si="36"/>
        <v>0</v>
      </c>
      <c r="BN17" s="165">
        <f t="shared" si="36"/>
        <v>0</v>
      </c>
      <c r="BO17" s="107"/>
      <c r="BP17" s="164"/>
      <c r="BQ17" s="165">
        <f t="shared" ref="BQ17:BY17" si="37">SUM(BQ18:BQ22)</f>
        <v>0</v>
      </c>
      <c r="BR17" s="264">
        <f t="shared" si="37"/>
        <v>0</v>
      </c>
      <c r="BS17" s="264">
        <f t="shared" si="37"/>
        <v>0</v>
      </c>
      <c r="BT17" s="165">
        <f t="shared" si="37"/>
        <v>0</v>
      </c>
      <c r="BU17" s="165">
        <f t="shared" si="37"/>
        <v>0</v>
      </c>
      <c r="BV17" s="107">
        <f t="shared" si="37"/>
        <v>0</v>
      </c>
      <c r="BW17" s="107">
        <f t="shared" si="37"/>
        <v>0</v>
      </c>
      <c r="BX17" s="165">
        <f t="shared" si="37"/>
        <v>0</v>
      </c>
      <c r="BY17" s="165">
        <f t="shared" si="37"/>
        <v>0</v>
      </c>
      <c r="BZ17" s="107"/>
      <c r="CA17" s="164"/>
      <c r="CB17" s="165">
        <f t="shared" ref="CB17:CJ17" si="38">SUM(CB18:CB22)</f>
        <v>0</v>
      </c>
      <c r="CC17" s="264">
        <f t="shared" si="38"/>
        <v>0</v>
      </c>
      <c r="CD17" s="165">
        <f t="shared" si="38"/>
        <v>0</v>
      </c>
      <c r="CE17" s="165">
        <f t="shared" si="38"/>
        <v>0</v>
      </c>
      <c r="CF17" s="165">
        <f t="shared" si="38"/>
        <v>0</v>
      </c>
      <c r="CG17" s="107">
        <f t="shared" si="38"/>
        <v>0</v>
      </c>
      <c r="CH17" s="107">
        <f t="shared" si="38"/>
        <v>0</v>
      </c>
      <c r="CI17" s="165">
        <f t="shared" si="38"/>
        <v>0</v>
      </c>
      <c r="CJ17" s="165">
        <f t="shared" si="38"/>
        <v>0</v>
      </c>
      <c r="CK17" s="107"/>
      <c r="CL17" s="104"/>
      <c r="CM17" s="15"/>
    </row>
    <row r="18" spans="1:91" ht="20.100000000000001" customHeight="1" x14ac:dyDescent="0.25">
      <c r="A18" s="6" t="s">
        <v>240</v>
      </c>
      <c r="B18" s="214" t="s">
        <v>213</v>
      </c>
      <c r="C18" s="233" t="s">
        <v>208</v>
      </c>
      <c r="D18" s="41">
        <f>N18+Y18+AJ18+AU18+BF18+BQ18+CB18</f>
        <v>124</v>
      </c>
      <c r="E18" s="49"/>
      <c r="F18" s="49">
        <f>P18+AA18+AL18+AW18+BH18+BS18+CD18</f>
        <v>100</v>
      </c>
      <c r="G18" s="49">
        <f>Q18+AB18+AM18+AX18+BI18+BT18+CE18</f>
        <v>70</v>
      </c>
      <c r="H18" s="49">
        <f>S18+AD18+AO18+AZ18+BK18+BV18+CG18</f>
        <v>0</v>
      </c>
      <c r="I18" s="49">
        <f>R18+AC18+AN18+AY18+BJ18+BU18+CF18</f>
        <v>30</v>
      </c>
      <c r="J18" s="49">
        <f>T18+AE18+AP18+BA18+BL18+BW18+CH18</f>
        <v>0</v>
      </c>
      <c r="K18" s="49">
        <f>U18+AF18+AQ18+BB18+BM18+BX18+CI18</f>
        <v>12</v>
      </c>
      <c r="L18" s="49">
        <f>V18+AG18+AR18+BC18+BN18+BY18+CJ18</f>
        <v>12</v>
      </c>
      <c r="M18" s="133"/>
      <c r="N18" s="92">
        <f>P18+U18+V18</f>
        <v>34</v>
      </c>
      <c r="O18" s="260">
        <v>2</v>
      </c>
      <c r="P18" s="95">
        <f>O18*$CN$6</f>
        <v>34</v>
      </c>
      <c r="Q18" s="96">
        <f>P18-R18</f>
        <v>24</v>
      </c>
      <c r="R18" s="83">
        <v>10</v>
      </c>
      <c r="S18" s="175"/>
      <c r="T18" s="171"/>
      <c r="U18" s="86"/>
      <c r="V18" s="89"/>
      <c r="W18" s="184" t="s">
        <v>237</v>
      </c>
      <c r="X18" s="77"/>
      <c r="Y18" s="92">
        <f>AA18+AF18+AG18</f>
        <v>90</v>
      </c>
      <c r="Z18" s="260">
        <v>3</v>
      </c>
      <c r="AA18" s="95">
        <f>Z18*$CN$7</f>
        <v>66</v>
      </c>
      <c r="AB18" s="96">
        <f>AA18-AC18</f>
        <v>46</v>
      </c>
      <c r="AC18" s="83">
        <v>20</v>
      </c>
      <c r="AD18" s="175"/>
      <c r="AE18" s="171"/>
      <c r="AF18" s="86">
        <v>12</v>
      </c>
      <c r="AG18" s="89">
        <v>12</v>
      </c>
      <c r="AH18" s="179" t="s">
        <v>82</v>
      </c>
      <c r="AI18" s="133"/>
      <c r="AJ18" s="154">
        <f>AL18+AQ18+AR18</f>
        <v>0</v>
      </c>
      <c r="AK18" s="265"/>
      <c r="AL18" s="155">
        <f>AK18*$CN$8</f>
        <v>0</v>
      </c>
      <c r="AM18" s="156">
        <f>AL18-AN18</f>
        <v>0</v>
      </c>
      <c r="AN18" s="157"/>
      <c r="AO18" s="175"/>
      <c r="AP18" s="171"/>
      <c r="AQ18" s="158"/>
      <c r="AR18" s="159"/>
      <c r="AS18" s="179"/>
      <c r="AT18" s="133"/>
      <c r="AU18" s="154">
        <f>AW18+BB18+BC18</f>
        <v>0</v>
      </c>
      <c r="AV18" s="265"/>
      <c r="AW18" s="155">
        <f>AV18*$CN$9</f>
        <v>0</v>
      </c>
      <c r="AX18" s="156">
        <f>AW18-AY18</f>
        <v>0</v>
      </c>
      <c r="AY18" s="157"/>
      <c r="AZ18" s="175"/>
      <c r="BA18" s="171"/>
      <c r="BB18" s="158"/>
      <c r="BC18" s="159"/>
      <c r="BD18" s="179"/>
      <c r="BE18" s="133"/>
      <c r="BF18" s="154">
        <f>BH18+BM18+BN18</f>
        <v>0</v>
      </c>
      <c r="BG18" s="265"/>
      <c r="BH18" s="155">
        <f>BG18*$CN$10</f>
        <v>0</v>
      </c>
      <c r="BI18" s="156">
        <f>BH18-BJ18</f>
        <v>0</v>
      </c>
      <c r="BJ18" s="157"/>
      <c r="BK18" s="175"/>
      <c r="BL18" s="171"/>
      <c r="BM18" s="158"/>
      <c r="BN18" s="159"/>
      <c r="BO18" s="179"/>
      <c r="BP18" s="133"/>
      <c r="BQ18" s="154">
        <f>BS18+BX18+BY18</f>
        <v>0</v>
      </c>
      <c r="BR18" s="265"/>
      <c r="BS18" s="325">
        <f>BR18*$CN$11</f>
        <v>0</v>
      </c>
      <c r="BT18" s="156">
        <f>BS18-BU18</f>
        <v>0</v>
      </c>
      <c r="BU18" s="157"/>
      <c r="BV18" s="175"/>
      <c r="BW18" s="171"/>
      <c r="BX18" s="158"/>
      <c r="BY18" s="159"/>
      <c r="BZ18" s="179"/>
      <c r="CA18" s="133"/>
      <c r="CB18" s="154">
        <f>CD18+CI18+CJ18</f>
        <v>0</v>
      </c>
      <c r="CC18" s="265"/>
      <c r="CD18" s="155">
        <f>CC18*$CN$12</f>
        <v>0</v>
      </c>
      <c r="CE18" s="156">
        <f>CD18-CF18</f>
        <v>0</v>
      </c>
      <c r="CF18" s="157"/>
      <c r="CG18" s="175"/>
      <c r="CH18" s="171"/>
      <c r="CI18" s="158"/>
      <c r="CJ18" s="159"/>
      <c r="CK18" s="179"/>
      <c r="CL18" s="131"/>
      <c r="CM18" s="15"/>
    </row>
    <row r="19" spans="1:91" ht="18.75" customHeight="1" x14ac:dyDescent="0.25">
      <c r="A19" s="6" t="s">
        <v>59</v>
      </c>
      <c r="B19" s="214" t="s">
        <v>12</v>
      </c>
      <c r="C19" s="233" t="s">
        <v>209</v>
      </c>
      <c r="D19" s="41">
        <f>N19+Y19+AJ19+AU19+BF19+BQ19+CB19</f>
        <v>121</v>
      </c>
      <c r="E19" s="49"/>
      <c r="F19" s="49">
        <f>P19+AA19+AL19+AW19+BH19+BS19+CD19</f>
        <v>121</v>
      </c>
      <c r="G19" s="49">
        <f>Q19+AB19+AM19+AX19+BI19+BT19+CE19</f>
        <v>85</v>
      </c>
      <c r="H19" s="49">
        <f>S19+AD19+AO19+AZ19+BK19+BV19+CG19</f>
        <v>0</v>
      </c>
      <c r="I19" s="49">
        <f>R19+AC19+AN19+AY19+BJ19+BU19+CF19</f>
        <v>36</v>
      </c>
      <c r="J19" s="49">
        <f>T19+AE19+AP19+BA19+BL19+BW19+CH19</f>
        <v>0</v>
      </c>
      <c r="K19" s="49">
        <f>U19+AF19+AQ19+BB19+BM19+BX19+CI19</f>
        <v>0</v>
      </c>
      <c r="L19" s="49">
        <f>V19+AG19+AR19+BC19+BN19+BY19+CJ19</f>
        <v>0</v>
      </c>
      <c r="M19" s="76"/>
      <c r="N19" s="92">
        <f>P19+U19+V19</f>
        <v>68</v>
      </c>
      <c r="O19" s="260">
        <v>4</v>
      </c>
      <c r="P19" s="95">
        <f t="shared" ref="P19:P21" si="39">O19*$CN$6</f>
        <v>68</v>
      </c>
      <c r="Q19" s="96">
        <f t="shared" ref="Q19:Q22" si="40">P19-R19</f>
        <v>48</v>
      </c>
      <c r="R19" s="83">
        <v>20</v>
      </c>
      <c r="S19" s="175"/>
      <c r="T19" s="171"/>
      <c r="U19" s="86"/>
      <c r="V19" s="89"/>
      <c r="W19" s="184" t="s">
        <v>237</v>
      </c>
      <c r="X19" s="77"/>
      <c r="Y19" s="92">
        <f>AA19+AF19+AG19</f>
        <v>53</v>
      </c>
      <c r="Z19" s="260">
        <f>AA19/22</f>
        <v>2.4090909090909092</v>
      </c>
      <c r="AA19" s="95">
        <v>53</v>
      </c>
      <c r="AB19" s="96">
        <f t="shared" ref="AB19:AB22" si="41">AA19-AC19</f>
        <v>37</v>
      </c>
      <c r="AC19" s="83">
        <v>16</v>
      </c>
      <c r="AD19" s="175"/>
      <c r="AE19" s="171"/>
      <c r="AF19" s="86"/>
      <c r="AG19" s="89"/>
      <c r="AH19" s="179" t="s">
        <v>95</v>
      </c>
      <c r="AI19" s="77"/>
      <c r="AJ19" s="92">
        <f>AL19+AQ19+AR19</f>
        <v>0</v>
      </c>
      <c r="AK19" s="260"/>
      <c r="AL19" s="155">
        <f t="shared" ref="AL19:AL22" si="42">AK19*$CN$8</f>
        <v>0</v>
      </c>
      <c r="AM19" s="156">
        <f t="shared" ref="AM19:AM22" si="43">AL19-AN19</f>
        <v>0</v>
      </c>
      <c r="AN19" s="83"/>
      <c r="AO19" s="175"/>
      <c r="AP19" s="171"/>
      <c r="AQ19" s="86"/>
      <c r="AR19" s="89"/>
      <c r="AS19" s="179"/>
      <c r="AT19" s="77"/>
      <c r="AU19" s="92">
        <f>AW19+BB19+BC19</f>
        <v>0</v>
      </c>
      <c r="AV19" s="260"/>
      <c r="AW19" s="155">
        <f t="shared" ref="AW19:AW22" si="44">AV19*$CN$9</f>
        <v>0</v>
      </c>
      <c r="AX19" s="156">
        <f t="shared" ref="AX19:AX22" si="45">AW19-AY19</f>
        <v>0</v>
      </c>
      <c r="AY19" s="83"/>
      <c r="AZ19" s="175"/>
      <c r="BA19" s="171"/>
      <c r="BB19" s="86"/>
      <c r="BC19" s="89"/>
      <c r="BD19" s="179"/>
      <c r="BE19" s="77"/>
      <c r="BF19" s="92">
        <f>BH19+BM19+BN19</f>
        <v>0</v>
      </c>
      <c r="BG19" s="260"/>
      <c r="BH19" s="155">
        <f t="shared" ref="BH19:BH22" si="46">BG19*$CN$10</f>
        <v>0</v>
      </c>
      <c r="BI19" s="156">
        <f t="shared" ref="BI19:BI22" si="47">BH19-BJ19</f>
        <v>0</v>
      </c>
      <c r="BJ19" s="83"/>
      <c r="BK19" s="175"/>
      <c r="BL19" s="171"/>
      <c r="BM19" s="86"/>
      <c r="BN19" s="89"/>
      <c r="BO19" s="179"/>
      <c r="BP19" s="77"/>
      <c r="BQ19" s="92">
        <f>BS19+BX19+BY19</f>
        <v>0</v>
      </c>
      <c r="BR19" s="260"/>
      <c r="BS19" s="325">
        <f t="shared" ref="BS19:BS22" si="48">BR19*$CN$11</f>
        <v>0</v>
      </c>
      <c r="BT19" s="156">
        <f t="shared" ref="BT19:BT22" si="49">BS19-BU19</f>
        <v>0</v>
      </c>
      <c r="BU19" s="83"/>
      <c r="BV19" s="175"/>
      <c r="BW19" s="171"/>
      <c r="BX19" s="86"/>
      <c r="BY19" s="89"/>
      <c r="BZ19" s="179"/>
      <c r="CA19" s="77"/>
      <c r="CB19" s="92">
        <f>CD19+CI19+CJ19</f>
        <v>0</v>
      </c>
      <c r="CC19" s="260"/>
      <c r="CD19" s="155">
        <f t="shared" ref="CD19:CD22" si="50">CC19*$CN$12</f>
        <v>0</v>
      </c>
      <c r="CE19" s="156">
        <f t="shared" ref="CE19:CE22" si="51">CD19-CF19</f>
        <v>0</v>
      </c>
      <c r="CF19" s="83"/>
      <c r="CG19" s="175"/>
      <c r="CH19" s="171"/>
      <c r="CI19" s="86"/>
      <c r="CJ19" s="89"/>
      <c r="CK19" s="179"/>
      <c r="CL19" s="131"/>
      <c r="CM19" s="15"/>
    </row>
    <row r="20" spans="1:91" ht="20.100000000000001" customHeight="1" x14ac:dyDescent="0.25">
      <c r="A20" s="6" t="s">
        <v>62</v>
      </c>
      <c r="B20" s="214" t="s">
        <v>7</v>
      </c>
      <c r="C20" s="233" t="s">
        <v>209</v>
      </c>
      <c r="D20" s="41">
        <f>N20+Y20+AJ20+AU20+BF20+BQ20+CB20</f>
        <v>114</v>
      </c>
      <c r="E20" s="49"/>
      <c r="F20" s="49">
        <f>P20+AA20+AL20+AW20+BH20+BS20+CD20</f>
        <v>114</v>
      </c>
      <c r="G20" s="49">
        <f>Q20+AB20+AM20+AX20+BI20+BT20+CE20</f>
        <v>92</v>
      </c>
      <c r="H20" s="49">
        <f>S20+AD20+AO20+AZ20+BK20+BV20+CG20</f>
        <v>0</v>
      </c>
      <c r="I20" s="49">
        <f>R20+AC20+AN20+AY20+BJ20+BU20+CF20</f>
        <v>22</v>
      </c>
      <c r="J20" s="49">
        <f>T20+AE20+AP20+BA20+BL20+BW20+CH20</f>
        <v>0</v>
      </c>
      <c r="K20" s="49">
        <f>U20+AF20+AQ20+BB20+BM20+BX20+CI20</f>
        <v>0</v>
      </c>
      <c r="L20" s="49">
        <f>V20+AG20+AR20+BC20+BN20+BY20+CJ20</f>
        <v>0</v>
      </c>
      <c r="M20" s="76"/>
      <c r="N20" s="92">
        <f>P20+U20+V20</f>
        <v>34</v>
      </c>
      <c r="O20" s="260">
        <v>2</v>
      </c>
      <c r="P20" s="95">
        <f t="shared" si="39"/>
        <v>34</v>
      </c>
      <c r="Q20" s="96">
        <f t="shared" si="40"/>
        <v>24</v>
      </c>
      <c r="R20" s="83">
        <v>10</v>
      </c>
      <c r="S20" s="175"/>
      <c r="T20" s="171"/>
      <c r="U20" s="86"/>
      <c r="V20" s="89"/>
      <c r="W20" s="184" t="s">
        <v>237</v>
      </c>
      <c r="X20" s="77"/>
      <c r="Y20" s="92">
        <f>AA20+AF20+AG20</f>
        <v>80</v>
      </c>
      <c r="Z20" s="260">
        <f>AA20/22</f>
        <v>3.6363636363636362</v>
      </c>
      <c r="AA20" s="95">
        <v>80</v>
      </c>
      <c r="AB20" s="96">
        <f t="shared" si="41"/>
        <v>68</v>
      </c>
      <c r="AC20" s="83">
        <v>12</v>
      </c>
      <c r="AD20" s="175"/>
      <c r="AE20" s="171"/>
      <c r="AF20" s="86"/>
      <c r="AG20" s="89"/>
      <c r="AH20" s="179" t="s">
        <v>95</v>
      </c>
      <c r="AI20" s="77"/>
      <c r="AJ20" s="92">
        <f>AL20+AQ20+AR20</f>
        <v>0</v>
      </c>
      <c r="AK20" s="260"/>
      <c r="AL20" s="155">
        <f t="shared" si="42"/>
        <v>0</v>
      </c>
      <c r="AM20" s="156">
        <f t="shared" si="43"/>
        <v>0</v>
      </c>
      <c r="AN20" s="83"/>
      <c r="AO20" s="175"/>
      <c r="AP20" s="171"/>
      <c r="AQ20" s="86"/>
      <c r="AR20" s="89"/>
      <c r="AS20" s="179"/>
      <c r="AT20" s="77"/>
      <c r="AU20" s="92">
        <f>AW20+BB20+BC20</f>
        <v>0</v>
      </c>
      <c r="AV20" s="260"/>
      <c r="AW20" s="155">
        <f t="shared" si="44"/>
        <v>0</v>
      </c>
      <c r="AX20" s="156">
        <f t="shared" si="45"/>
        <v>0</v>
      </c>
      <c r="AY20" s="83"/>
      <c r="AZ20" s="175"/>
      <c r="BA20" s="171"/>
      <c r="BB20" s="86"/>
      <c r="BC20" s="89"/>
      <c r="BD20" s="179"/>
      <c r="BE20" s="77"/>
      <c r="BF20" s="92">
        <f>BH20+BM20+BN20</f>
        <v>0</v>
      </c>
      <c r="BG20" s="260"/>
      <c r="BH20" s="155">
        <f t="shared" si="46"/>
        <v>0</v>
      </c>
      <c r="BI20" s="156">
        <f t="shared" si="47"/>
        <v>0</v>
      </c>
      <c r="BJ20" s="83"/>
      <c r="BK20" s="175"/>
      <c r="BL20" s="171"/>
      <c r="BM20" s="86"/>
      <c r="BN20" s="89"/>
      <c r="BO20" s="179"/>
      <c r="BP20" s="77"/>
      <c r="BQ20" s="92">
        <f>BS20+BX20+BY20</f>
        <v>0</v>
      </c>
      <c r="BR20" s="260"/>
      <c r="BS20" s="325">
        <f t="shared" si="48"/>
        <v>0</v>
      </c>
      <c r="BT20" s="156">
        <f t="shared" si="49"/>
        <v>0</v>
      </c>
      <c r="BU20" s="83"/>
      <c r="BV20" s="175"/>
      <c r="BW20" s="171"/>
      <c r="BX20" s="86"/>
      <c r="BY20" s="89"/>
      <c r="BZ20" s="179"/>
      <c r="CA20" s="77"/>
      <c r="CB20" s="92">
        <f>CD20+CI20+CJ20</f>
        <v>0</v>
      </c>
      <c r="CC20" s="260"/>
      <c r="CD20" s="155">
        <f t="shared" si="50"/>
        <v>0</v>
      </c>
      <c r="CE20" s="156">
        <f t="shared" si="51"/>
        <v>0</v>
      </c>
      <c r="CF20" s="83"/>
      <c r="CG20" s="175"/>
      <c r="CH20" s="171"/>
      <c r="CI20" s="86"/>
      <c r="CJ20" s="89"/>
      <c r="CK20" s="179"/>
      <c r="CL20" s="131"/>
      <c r="CM20" s="15"/>
    </row>
    <row r="21" spans="1:91" ht="34.5" customHeight="1" x14ac:dyDescent="0.25">
      <c r="A21" s="6" t="s">
        <v>241</v>
      </c>
      <c r="B21" s="297" t="s">
        <v>215</v>
      </c>
      <c r="C21" s="235" t="s">
        <v>209</v>
      </c>
      <c r="D21" s="41">
        <f>N21+Y21+AJ21+AU21+BF21+BQ21+CB21</f>
        <v>108</v>
      </c>
      <c r="E21" s="49"/>
      <c r="F21" s="49">
        <f>P21+AA21+AL21+AW21+BH21+BS21+CD21</f>
        <v>108</v>
      </c>
      <c r="G21" s="49">
        <f>Q21+AB21+AM21+AX21+BI21+BT21+CE21</f>
        <v>108</v>
      </c>
      <c r="H21" s="49">
        <f>S21+AD21+AO21+AZ21+BK21+BV21+CG21</f>
        <v>0</v>
      </c>
      <c r="I21" s="49">
        <f>R21+AC21+AN21+AY21+BJ21+BU21+CF21</f>
        <v>0</v>
      </c>
      <c r="J21" s="49">
        <f>T21+AE21+AP21+BA21+BL21+BW21+CH21</f>
        <v>0</v>
      </c>
      <c r="K21" s="49">
        <f>U21+AF21+AQ21+BB21+BM21+BX21+CI21</f>
        <v>0</v>
      </c>
      <c r="L21" s="49">
        <f>V21+AG21+AR21+BC21+BN21+BY21+CJ21</f>
        <v>0</v>
      </c>
      <c r="M21" s="77"/>
      <c r="N21" s="92">
        <f>P21+U21+V21</f>
        <v>34</v>
      </c>
      <c r="O21" s="260">
        <v>2</v>
      </c>
      <c r="P21" s="95">
        <f t="shared" si="39"/>
        <v>34</v>
      </c>
      <c r="Q21" s="96">
        <f t="shared" si="40"/>
        <v>34</v>
      </c>
      <c r="R21" s="83"/>
      <c r="S21" s="175"/>
      <c r="T21" s="171"/>
      <c r="U21" s="86"/>
      <c r="V21" s="89"/>
      <c r="W21" s="184" t="s">
        <v>237</v>
      </c>
      <c r="X21" s="77"/>
      <c r="Y21" s="92">
        <f>AA21+AF21+AG21</f>
        <v>74</v>
      </c>
      <c r="Z21" s="260">
        <f>AA21/22</f>
        <v>3.3636363636363638</v>
      </c>
      <c r="AA21" s="95">
        <v>74</v>
      </c>
      <c r="AB21" s="96">
        <f t="shared" si="41"/>
        <v>74</v>
      </c>
      <c r="AC21" s="83"/>
      <c r="AD21" s="175"/>
      <c r="AE21" s="171"/>
      <c r="AF21" s="86"/>
      <c r="AG21" s="89"/>
      <c r="AH21" s="179" t="s">
        <v>95</v>
      </c>
      <c r="AI21" s="77"/>
      <c r="AJ21" s="92">
        <f>AL21+AQ21+AR21</f>
        <v>0</v>
      </c>
      <c r="AK21" s="260"/>
      <c r="AL21" s="155">
        <f t="shared" si="42"/>
        <v>0</v>
      </c>
      <c r="AM21" s="156">
        <f t="shared" si="43"/>
        <v>0</v>
      </c>
      <c r="AN21" s="83"/>
      <c r="AO21" s="175"/>
      <c r="AP21" s="171"/>
      <c r="AQ21" s="86"/>
      <c r="AR21" s="89"/>
      <c r="AS21" s="179"/>
      <c r="AT21" s="77"/>
      <c r="AU21" s="92">
        <f>AW21+BB21+BC21</f>
        <v>0</v>
      </c>
      <c r="AV21" s="260"/>
      <c r="AW21" s="155">
        <f t="shared" si="44"/>
        <v>0</v>
      </c>
      <c r="AX21" s="156">
        <f t="shared" si="45"/>
        <v>0</v>
      </c>
      <c r="AY21" s="83"/>
      <c r="AZ21" s="175"/>
      <c r="BA21" s="171"/>
      <c r="BB21" s="86"/>
      <c r="BC21" s="89"/>
      <c r="BD21" s="179"/>
      <c r="BE21" s="77"/>
      <c r="BF21" s="92">
        <f>BH21+BM21+BN21</f>
        <v>0</v>
      </c>
      <c r="BG21" s="260"/>
      <c r="BH21" s="155">
        <f t="shared" si="46"/>
        <v>0</v>
      </c>
      <c r="BI21" s="156">
        <f t="shared" si="47"/>
        <v>0</v>
      </c>
      <c r="BJ21" s="83"/>
      <c r="BK21" s="175"/>
      <c r="BL21" s="171"/>
      <c r="BM21" s="86"/>
      <c r="BN21" s="89"/>
      <c r="BO21" s="179"/>
      <c r="BP21" s="77"/>
      <c r="BQ21" s="92">
        <f>BS21+BX21+BY21</f>
        <v>0</v>
      </c>
      <c r="BR21" s="260"/>
      <c r="BS21" s="325">
        <f t="shared" si="48"/>
        <v>0</v>
      </c>
      <c r="BT21" s="156">
        <f t="shared" si="49"/>
        <v>0</v>
      </c>
      <c r="BU21" s="83"/>
      <c r="BV21" s="175"/>
      <c r="BW21" s="171"/>
      <c r="BX21" s="86"/>
      <c r="BY21" s="89"/>
      <c r="BZ21" s="179"/>
      <c r="CA21" s="77"/>
      <c r="CB21" s="92">
        <f>CD21+CI21+CJ21</f>
        <v>0</v>
      </c>
      <c r="CC21" s="260"/>
      <c r="CD21" s="155">
        <f t="shared" si="50"/>
        <v>0</v>
      </c>
      <c r="CE21" s="156">
        <f t="shared" si="51"/>
        <v>0</v>
      </c>
      <c r="CF21" s="83"/>
      <c r="CG21" s="175"/>
      <c r="CH21" s="171"/>
      <c r="CI21" s="86"/>
      <c r="CJ21" s="89"/>
      <c r="CK21" s="179"/>
      <c r="CL21" s="131"/>
      <c r="CM21" s="15"/>
    </row>
    <row r="22" spans="1:91" ht="20.100000000000001" customHeight="1" x14ac:dyDescent="0.25">
      <c r="A22" s="294" t="s">
        <v>242</v>
      </c>
      <c r="B22" s="300" t="s">
        <v>8</v>
      </c>
      <c r="C22" s="292" t="s">
        <v>95</v>
      </c>
      <c r="D22" s="193">
        <f>N22+Y22+AJ22+AU22+BF22+BQ22+CB22</f>
        <v>36</v>
      </c>
      <c r="E22" s="49"/>
      <c r="F22" s="49">
        <f>P22+AA22+AL22+AW22+BH22+BS22+CD22</f>
        <v>36</v>
      </c>
      <c r="G22" s="49">
        <f>Q22+AB22+AM22+AX22+BI22+BT22+CE22</f>
        <v>36</v>
      </c>
      <c r="H22" s="49">
        <f>S22+AD22+AO22+AZ22+BK22+BV22+CG22</f>
        <v>0</v>
      </c>
      <c r="I22" s="49">
        <f>R22+AC22+AN22+AY22+BJ22+BU22+CF22</f>
        <v>0</v>
      </c>
      <c r="J22" s="49">
        <f>T22+AE22+AP22+BA22+BL22+BW22+CH22</f>
        <v>0</v>
      </c>
      <c r="K22" s="49">
        <f>U22+AF22+AQ22+BB22+BM22+BX22+CI22</f>
        <v>0</v>
      </c>
      <c r="L22" s="49">
        <f>V22+AG22+AR22+BC22+BN22+BY22+CJ22</f>
        <v>0</v>
      </c>
      <c r="M22" s="77"/>
      <c r="N22" s="92">
        <f>P22+U22+V22</f>
        <v>36</v>
      </c>
      <c r="O22" s="260">
        <f>36/17</f>
        <v>2.1176470588235294</v>
      </c>
      <c r="P22" s="95">
        <v>36</v>
      </c>
      <c r="Q22" s="96">
        <f t="shared" si="40"/>
        <v>36</v>
      </c>
      <c r="R22" s="83"/>
      <c r="S22" s="175"/>
      <c r="T22" s="171"/>
      <c r="U22" s="86"/>
      <c r="V22" s="89"/>
      <c r="W22" s="179" t="s">
        <v>237</v>
      </c>
      <c r="X22" s="77"/>
      <c r="Y22" s="92">
        <f>AA22+AF22+AG22</f>
        <v>0</v>
      </c>
      <c r="Z22" s="260"/>
      <c r="AA22" s="95">
        <f>Z22*$CN$7</f>
        <v>0</v>
      </c>
      <c r="AB22" s="96">
        <f t="shared" si="41"/>
        <v>0</v>
      </c>
      <c r="AC22" s="83"/>
      <c r="AD22" s="175"/>
      <c r="AE22" s="171"/>
      <c r="AF22" s="86"/>
      <c r="AG22" s="89"/>
      <c r="AH22" s="179"/>
      <c r="AI22" s="77"/>
      <c r="AJ22" s="92">
        <f>AL22+AQ22+AR22</f>
        <v>0</v>
      </c>
      <c r="AK22" s="260"/>
      <c r="AL22" s="155">
        <f t="shared" si="42"/>
        <v>0</v>
      </c>
      <c r="AM22" s="156">
        <f t="shared" si="43"/>
        <v>0</v>
      </c>
      <c r="AN22" s="83"/>
      <c r="AO22" s="175"/>
      <c r="AP22" s="171"/>
      <c r="AQ22" s="86"/>
      <c r="AR22" s="89"/>
      <c r="AS22" s="179"/>
      <c r="AT22" s="77"/>
      <c r="AU22" s="92">
        <f>AW22+BB22+BC22</f>
        <v>0</v>
      </c>
      <c r="AV22" s="260"/>
      <c r="AW22" s="155">
        <f t="shared" si="44"/>
        <v>0</v>
      </c>
      <c r="AX22" s="156">
        <f t="shared" si="45"/>
        <v>0</v>
      </c>
      <c r="AY22" s="83"/>
      <c r="AZ22" s="175"/>
      <c r="BA22" s="171"/>
      <c r="BB22" s="86"/>
      <c r="BC22" s="89"/>
      <c r="BD22" s="179"/>
      <c r="BE22" s="77"/>
      <c r="BF22" s="92">
        <f>BH22+BM22+BN22</f>
        <v>0</v>
      </c>
      <c r="BG22" s="260"/>
      <c r="BH22" s="155">
        <f t="shared" si="46"/>
        <v>0</v>
      </c>
      <c r="BI22" s="156">
        <f t="shared" si="47"/>
        <v>0</v>
      </c>
      <c r="BJ22" s="83"/>
      <c r="BK22" s="175"/>
      <c r="BL22" s="171"/>
      <c r="BM22" s="86"/>
      <c r="BN22" s="89"/>
      <c r="BO22" s="179"/>
      <c r="BP22" s="77"/>
      <c r="BQ22" s="92">
        <f>BS22+BX22+BY22</f>
        <v>0</v>
      </c>
      <c r="BR22" s="260"/>
      <c r="BS22" s="325">
        <f t="shared" si="48"/>
        <v>0</v>
      </c>
      <c r="BT22" s="156">
        <f t="shared" si="49"/>
        <v>0</v>
      </c>
      <c r="BU22" s="83"/>
      <c r="BV22" s="175"/>
      <c r="BW22" s="171"/>
      <c r="BX22" s="86"/>
      <c r="BY22" s="89"/>
      <c r="BZ22" s="179"/>
      <c r="CA22" s="77"/>
      <c r="CB22" s="92">
        <f>CD22+CI22+CJ22</f>
        <v>0</v>
      </c>
      <c r="CC22" s="260"/>
      <c r="CD22" s="155">
        <f t="shared" si="50"/>
        <v>0</v>
      </c>
      <c r="CE22" s="156">
        <f t="shared" si="51"/>
        <v>0</v>
      </c>
      <c r="CF22" s="83"/>
      <c r="CG22" s="175"/>
      <c r="CH22" s="171"/>
      <c r="CI22" s="86"/>
      <c r="CJ22" s="89"/>
      <c r="CK22" s="179"/>
      <c r="CL22" s="131"/>
    </row>
    <row r="23" spans="1:91" ht="20.100000000000001" customHeight="1" x14ac:dyDescent="0.25">
      <c r="A23" s="295"/>
      <c r="B23" s="301" t="s">
        <v>218</v>
      </c>
      <c r="C23" s="302"/>
      <c r="D23" s="296">
        <f>N23+Y23+AJ23+AU23+BF23+BQ23+CB23</f>
        <v>39</v>
      </c>
      <c r="E23" s="106"/>
      <c r="F23" s="106"/>
      <c r="G23" s="106"/>
      <c r="H23" s="106"/>
      <c r="I23" s="106"/>
      <c r="J23" s="106"/>
      <c r="K23" s="106"/>
      <c r="L23" s="106"/>
      <c r="M23" s="76"/>
      <c r="N23" s="107">
        <f>N24</f>
        <v>39</v>
      </c>
      <c r="O23" s="259">
        <f t="shared" ref="O23:V23" si="52">O24</f>
        <v>2.2941176470588234</v>
      </c>
      <c r="P23" s="107">
        <f t="shared" si="52"/>
        <v>39</v>
      </c>
      <c r="Q23" s="107">
        <f t="shared" si="52"/>
        <v>19</v>
      </c>
      <c r="R23" s="107">
        <f t="shared" si="52"/>
        <v>20</v>
      </c>
      <c r="S23" s="107">
        <f t="shared" si="52"/>
        <v>0</v>
      </c>
      <c r="T23" s="107">
        <f t="shared" si="52"/>
        <v>0</v>
      </c>
      <c r="U23" s="107">
        <f t="shared" si="52"/>
        <v>0</v>
      </c>
      <c r="V23" s="107">
        <f t="shared" si="52"/>
        <v>0</v>
      </c>
      <c r="W23" s="107"/>
      <c r="X23" s="77"/>
      <c r="Y23" s="107">
        <f>Y24</f>
        <v>0</v>
      </c>
      <c r="Z23" s="259">
        <f t="shared" ref="Z23:AG23" si="53">Z24</f>
        <v>0</v>
      </c>
      <c r="AA23" s="107">
        <f t="shared" si="53"/>
        <v>0</v>
      </c>
      <c r="AB23" s="107">
        <f t="shared" si="53"/>
        <v>0</v>
      </c>
      <c r="AC23" s="107">
        <f t="shared" si="53"/>
        <v>0</v>
      </c>
      <c r="AD23" s="107">
        <f t="shared" si="53"/>
        <v>0</v>
      </c>
      <c r="AE23" s="107">
        <f t="shared" si="53"/>
        <v>0</v>
      </c>
      <c r="AF23" s="107">
        <f t="shared" si="53"/>
        <v>0</v>
      </c>
      <c r="AG23" s="107">
        <f t="shared" si="53"/>
        <v>0</v>
      </c>
      <c r="AH23" s="107"/>
      <c r="AI23" s="77"/>
      <c r="AJ23" s="107">
        <f>AJ24</f>
        <v>0</v>
      </c>
      <c r="AK23" s="259">
        <f t="shared" ref="AK23:AR23" si="54">AK24</f>
        <v>0</v>
      </c>
      <c r="AL23" s="107">
        <f t="shared" si="54"/>
        <v>0</v>
      </c>
      <c r="AM23" s="107">
        <f t="shared" si="54"/>
        <v>0</v>
      </c>
      <c r="AN23" s="107">
        <f t="shared" si="54"/>
        <v>0</v>
      </c>
      <c r="AO23" s="107">
        <f t="shared" si="54"/>
        <v>0</v>
      </c>
      <c r="AP23" s="107">
        <f t="shared" si="54"/>
        <v>0</v>
      </c>
      <c r="AQ23" s="107">
        <f t="shared" si="54"/>
        <v>0</v>
      </c>
      <c r="AR23" s="107">
        <f t="shared" si="54"/>
        <v>0</v>
      </c>
      <c r="AS23" s="107"/>
      <c r="AT23" s="77"/>
      <c r="AU23" s="107">
        <f>AU24</f>
        <v>0</v>
      </c>
      <c r="AV23" s="259">
        <f t="shared" ref="AV23:BC23" si="55">AV24</f>
        <v>0</v>
      </c>
      <c r="AW23" s="107">
        <f t="shared" si="55"/>
        <v>0</v>
      </c>
      <c r="AX23" s="107">
        <f t="shared" si="55"/>
        <v>0</v>
      </c>
      <c r="AY23" s="107">
        <f t="shared" si="55"/>
        <v>0</v>
      </c>
      <c r="AZ23" s="107">
        <f t="shared" si="55"/>
        <v>0</v>
      </c>
      <c r="BA23" s="107">
        <f t="shared" si="55"/>
        <v>0</v>
      </c>
      <c r="BB23" s="107">
        <f t="shared" si="55"/>
        <v>0</v>
      </c>
      <c r="BC23" s="107">
        <f t="shared" si="55"/>
        <v>0</v>
      </c>
      <c r="BD23" s="107"/>
      <c r="BE23" s="77"/>
      <c r="BF23" s="107">
        <f>BF24</f>
        <v>0</v>
      </c>
      <c r="BG23" s="259">
        <f t="shared" ref="BG23:BN23" si="56">BG24</f>
        <v>0</v>
      </c>
      <c r="BH23" s="107">
        <f t="shared" si="56"/>
        <v>0</v>
      </c>
      <c r="BI23" s="107">
        <f t="shared" si="56"/>
        <v>0</v>
      </c>
      <c r="BJ23" s="107">
        <f t="shared" si="56"/>
        <v>0</v>
      </c>
      <c r="BK23" s="107">
        <f t="shared" si="56"/>
        <v>0</v>
      </c>
      <c r="BL23" s="107">
        <f t="shared" si="56"/>
        <v>0</v>
      </c>
      <c r="BM23" s="107">
        <f t="shared" si="56"/>
        <v>0</v>
      </c>
      <c r="BN23" s="107">
        <f t="shared" si="56"/>
        <v>0</v>
      </c>
      <c r="BO23" s="107"/>
      <c r="BP23" s="77"/>
      <c r="BQ23" s="107">
        <f>BQ24</f>
        <v>0</v>
      </c>
      <c r="BR23" s="259">
        <f t="shared" ref="BR23:BY23" si="57">BR24</f>
        <v>0</v>
      </c>
      <c r="BS23" s="259">
        <f t="shared" si="57"/>
        <v>0</v>
      </c>
      <c r="BT23" s="107">
        <f t="shared" si="57"/>
        <v>0</v>
      </c>
      <c r="BU23" s="107">
        <f t="shared" si="57"/>
        <v>0</v>
      </c>
      <c r="BV23" s="107">
        <f t="shared" si="57"/>
        <v>0</v>
      </c>
      <c r="BW23" s="107">
        <f t="shared" si="57"/>
        <v>0</v>
      </c>
      <c r="BX23" s="107">
        <f t="shared" si="57"/>
        <v>0</v>
      </c>
      <c r="BY23" s="107">
        <f t="shared" si="57"/>
        <v>0</v>
      </c>
      <c r="BZ23" s="107"/>
      <c r="CA23" s="77"/>
      <c r="CB23" s="107">
        <f>CB24</f>
        <v>0</v>
      </c>
      <c r="CC23" s="259">
        <f t="shared" ref="CC23:CJ23" si="58">CC24</f>
        <v>0</v>
      </c>
      <c r="CD23" s="107">
        <f t="shared" si="58"/>
        <v>0</v>
      </c>
      <c r="CE23" s="107">
        <f t="shared" si="58"/>
        <v>0</v>
      </c>
      <c r="CF23" s="107">
        <f t="shared" si="58"/>
        <v>0</v>
      </c>
      <c r="CG23" s="107">
        <f t="shared" si="58"/>
        <v>0</v>
      </c>
      <c r="CH23" s="107">
        <f t="shared" si="58"/>
        <v>0</v>
      </c>
      <c r="CI23" s="107">
        <f t="shared" si="58"/>
        <v>0</v>
      </c>
      <c r="CJ23" s="107">
        <f t="shared" si="58"/>
        <v>0</v>
      </c>
      <c r="CK23" s="107"/>
      <c r="CL23" s="131"/>
    </row>
    <row r="24" spans="1:91" ht="20.100000000000001" customHeight="1" x14ac:dyDescent="0.25">
      <c r="A24" s="6" t="s">
        <v>244</v>
      </c>
      <c r="B24" s="298" t="s">
        <v>219</v>
      </c>
      <c r="C24" s="299" t="s">
        <v>95</v>
      </c>
      <c r="D24" s="41">
        <f>N24+Y24+AJ24+AU24+BF24+BQ24+CB24</f>
        <v>39</v>
      </c>
      <c r="E24" s="49"/>
      <c r="F24" s="49">
        <f>P24+AA24+AL24+AW24+BH24+BS24+CD24</f>
        <v>39</v>
      </c>
      <c r="G24" s="49">
        <f>Q24+AB24+AM24+AX24+BI24+BT24+CE24</f>
        <v>19</v>
      </c>
      <c r="H24" s="49">
        <f>S24+AD24+AO24+AZ24+BK24+BV24+CG24</f>
        <v>0</v>
      </c>
      <c r="I24" s="49">
        <f>R24+AC24+AN24+AY24+BJ24+BU24+CF24</f>
        <v>20</v>
      </c>
      <c r="J24" s="49">
        <f>T24+AE24+AP24+BA24+BL24+BW24+CH24</f>
        <v>0</v>
      </c>
      <c r="K24" s="49">
        <f>U24+AF24+AQ24+BB24+BM24+BX24+CI24</f>
        <v>0</v>
      </c>
      <c r="L24" s="49">
        <f>V24+AG24+AR24+BC24+BN24+BY24+CJ24</f>
        <v>0</v>
      </c>
      <c r="M24" s="76"/>
      <c r="N24" s="92">
        <f>P24+U24+V24</f>
        <v>39</v>
      </c>
      <c r="O24" s="260">
        <f>P24/17</f>
        <v>2.2941176470588234</v>
      </c>
      <c r="P24" s="95">
        <v>39</v>
      </c>
      <c r="Q24" s="96">
        <f>P24-R24</f>
        <v>19</v>
      </c>
      <c r="R24" s="83">
        <v>20</v>
      </c>
      <c r="S24" s="175"/>
      <c r="T24" s="171"/>
      <c r="U24" s="86"/>
      <c r="V24" s="89"/>
      <c r="W24" s="184" t="s">
        <v>237</v>
      </c>
      <c r="X24" s="77"/>
      <c r="Y24" s="92">
        <f>AA24+AF24+AG24</f>
        <v>0</v>
      </c>
      <c r="Z24" s="260"/>
      <c r="AA24" s="95">
        <f>Z24*$CN$7</f>
        <v>0</v>
      </c>
      <c r="AB24" s="96">
        <f>AA24-AC24</f>
        <v>0</v>
      </c>
      <c r="AC24" s="83"/>
      <c r="AD24" s="175"/>
      <c r="AE24" s="171"/>
      <c r="AF24" s="86"/>
      <c r="AG24" s="89"/>
      <c r="AH24" s="179"/>
      <c r="AI24" s="77"/>
      <c r="AJ24" s="92">
        <f>AL24+AQ24+AR24</f>
        <v>0</v>
      </c>
      <c r="AK24" s="260"/>
      <c r="AL24" s="95">
        <f>AK24*$CN$8</f>
        <v>0</v>
      </c>
      <c r="AM24" s="96">
        <f>AL24-AN24</f>
        <v>0</v>
      </c>
      <c r="AN24" s="83"/>
      <c r="AO24" s="175"/>
      <c r="AP24" s="171"/>
      <c r="AQ24" s="86"/>
      <c r="AR24" s="89"/>
      <c r="AS24" s="179"/>
      <c r="AT24" s="77"/>
      <c r="AU24" s="92">
        <f>AW24+BB24+BC24</f>
        <v>0</v>
      </c>
      <c r="AV24" s="260"/>
      <c r="AW24" s="95">
        <f>AV24*$CN$9</f>
        <v>0</v>
      </c>
      <c r="AX24" s="96">
        <f>AW24-AY24</f>
        <v>0</v>
      </c>
      <c r="AY24" s="83"/>
      <c r="AZ24" s="175"/>
      <c r="BA24" s="171"/>
      <c r="BB24" s="86"/>
      <c r="BC24" s="89"/>
      <c r="BD24" s="179"/>
      <c r="BE24" s="77"/>
      <c r="BF24" s="92">
        <f>BH24+BM24+BN24</f>
        <v>0</v>
      </c>
      <c r="BG24" s="260"/>
      <c r="BH24" s="95">
        <f>BG24*$CN$10</f>
        <v>0</v>
      </c>
      <c r="BI24" s="96">
        <f>BH24-BJ24</f>
        <v>0</v>
      </c>
      <c r="BJ24" s="83"/>
      <c r="BK24" s="175"/>
      <c r="BL24" s="171"/>
      <c r="BM24" s="86"/>
      <c r="BN24" s="89"/>
      <c r="BO24" s="179"/>
      <c r="BP24" s="77"/>
      <c r="BQ24" s="92">
        <f>BS24+BX24+BY24</f>
        <v>0</v>
      </c>
      <c r="BR24" s="260"/>
      <c r="BS24" s="324">
        <f>BR24*$CN$11</f>
        <v>0</v>
      </c>
      <c r="BT24" s="96">
        <f>BS24-BU24</f>
        <v>0</v>
      </c>
      <c r="BU24" s="83"/>
      <c r="BV24" s="175"/>
      <c r="BW24" s="171"/>
      <c r="BX24" s="86"/>
      <c r="BY24" s="89"/>
      <c r="BZ24" s="179"/>
      <c r="CA24" s="77"/>
      <c r="CB24" s="92">
        <f>CD24+CI24+CJ24</f>
        <v>0</v>
      </c>
      <c r="CC24" s="260"/>
      <c r="CD24" s="339">
        <f>CC24*$CN$12</f>
        <v>0</v>
      </c>
      <c r="CE24" s="96">
        <f>CD24-CF24</f>
        <v>0</v>
      </c>
      <c r="CF24" s="83"/>
      <c r="CG24" s="175"/>
      <c r="CH24" s="171"/>
      <c r="CI24" s="86"/>
      <c r="CJ24" s="89"/>
      <c r="CK24" s="179"/>
      <c r="CL24" s="131"/>
    </row>
    <row r="25" spans="1:91" ht="9" customHeight="1" x14ac:dyDescent="0.25">
      <c r="A25" s="97"/>
      <c r="B25" s="222"/>
      <c r="C25" s="236"/>
      <c r="D25" s="98"/>
      <c r="E25" s="98"/>
      <c r="F25" s="98"/>
      <c r="G25" s="98"/>
      <c r="H25" s="98"/>
      <c r="I25" s="98"/>
      <c r="J25" s="98"/>
      <c r="K25" s="98"/>
      <c r="L25" s="98"/>
      <c r="M25" s="76"/>
      <c r="N25" s="77"/>
      <c r="O25" s="266"/>
      <c r="P25" s="77"/>
      <c r="Q25" s="77"/>
      <c r="R25" s="78"/>
      <c r="S25" s="78"/>
      <c r="T25" s="78"/>
      <c r="U25" s="78"/>
      <c r="V25" s="78"/>
      <c r="W25" s="78"/>
      <c r="X25" s="78"/>
      <c r="Y25" s="77"/>
      <c r="Z25" s="266"/>
      <c r="AA25" s="77"/>
      <c r="AB25" s="77"/>
      <c r="AC25" s="78"/>
      <c r="AD25" s="78"/>
      <c r="AE25" s="78"/>
      <c r="AF25" s="78"/>
      <c r="AG25" s="78"/>
      <c r="AH25" s="78"/>
      <c r="AI25" s="78"/>
      <c r="AJ25" s="77"/>
      <c r="AK25" s="266"/>
      <c r="AL25" s="77"/>
      <c r="AM25" s="77"/>
      <c r="AN25" s="78"/>
      <c r="AO25" s="78"/>
      <c r="AP25" s="78"/>
      <c r="AQ25" s="78"/>
      <c r="AR25" s="78"/>
      <c r="AS25" s="78"/>
      <c r="AT25" s="78"/>
      <c r="AU25" s="77"/>
      <c r="AV25" s="266"/>
      <c r="AW25" s="77"/>
      <c r="AX25" s="77"/>
      <c r="AY25" s="78"/>
      <c r="AZ25" s="78"/>
      <c r="BA25" s="78"/>
      <c r="BB25" s="78"/>
      <c r="BC25" s="78"/>
      <c r="BD25" s="78"/>
      <c r="BE25" s="78"/>
      <c r="BF25" s="77"/>
      <c r="BG25" s="266"/>
      <c r="BH25" s="77"/>
      <c r="BI25" s="77"/>
      <c r="BJ25" s="78"/>
      <c r="BK25" s="78"/>
      <c r="BL25" s="78"/>
      <c r="BM25" s="78"/>
      <c r="BN25" s="78"/>
      <c r="BO25" s="78"/>
      <c r="BP25" s="78"/>
      <c r="BQ25" s="77"/>
      <c r="BR25" s="266"/>
      <c r="BS25" s="293"/>
      <c r="BT25" s="77"/>
      <c r="BU25" s="78"/>
      <c r="BV25" s="78"/>
      <c r="BW25" s="78"/>
      <c r="BX25" s="78"/>
      <c r="BY25" s="78"/>
      <c r="BZ25" s="78"/>
      <c r="CA25" s="78"/>
      <c r="CB25" s="77"/>
      <c r="CC25" s="266"/>
      <c r="CD25" s="77"/>
      <c r="CE25" s="77"/>
      <c r="CF25" s="78"/>
      <c r="CG25" s="78"/>
      <c r="CH25" s="78"/>
      <c r="CI25" s="78"/>
      <c r="CJ25" s="78"/>
      <c r="CK25" s="78"/>
      <c r="CL25" s="139"/>
    </row>
    <row r="26" spans="1:91" ht="30.75" customHeight="1" x14ac:dyDescent="0.25">
      <c r="A26" s="110" t="s">
        <v>63</v>
      </c>
      <c r="B26" s="216" t="s">
        <v>13</v>
      </c>
      <c r="C26" s="237" t="s">
        <v>64</v>
      </c>
      <c r="D26" s="188">
        <f>N26+Y26+AJ26+AU26+BF26+BQ26+CB26</f>
        <v>532</v>
      </c>
      <c r="E26" s="112"/>
      <c r="F26" s="112">
        <f>P26+AA26+AL26+AW26+BH26+BS26+CD26</f>
        <v>532</v>
      </c>
      <c r="G26" s="112">
        <f>Q26+AB26+AM26+AX26+BI26+BT26+CE26</f>
        <v>502</v>
      </c>
      <c r="H26" s="112">
        <f>S26+AD26+AO26+AZ26+BK26+BV26+CG26</f>
        <v>0</v>
      </c>
      <c r="I26" s="112">
        <f>R26+AC26+AN26+AY26+BJ26+BU26+CF26</f>
        <v>30</v>
      </c>
      <c r="J26" s="112">
        <f>T26+AE26+AP26+BA26+BL26+BW26+CH26</f>
        <v>0</v>
      </c>
      <c r="K26" s="112">
        <f>U26+AF26+AQ26+BB26+BM26+BX26+CI26</f>
        <v>0</v>
      </c>
      <c r="L26" s="112">
        <f>V26+AG26+AR26+BC26+BN26+BY26+CJ26</f>
        <v>0</v>
      </c>
      <c r="M26" s="79"/>
      <c r="N26" s="112">
        <f t="shared" ref="N26:V26" si="59">SUM(N27:N33)</f>
        <v>0</v>
      </c>
      <c r="O26" s="267">
        <f t="shared" si="59"/>
        <v>0</v>
      </c>
      <c r="P26" s="112">
        <f t="shared" si="59"/>
        <v>0</v>
      </c>
      <c r="Q26" s="112">
        <f t="shared" si="59"/>
        <v>0</v>
      </c>
      <c r="R26" s="112">
        <f t="shared" si="59"/>
        <v>0</v>
      </c>
      <c r="S26" s="175">
        <f t="shared" si="59"/>
        <v>0</v>
      </c>
      <c r="T26" s="112">
        <f t="shared" si="59"/>
        <v>0</v>
      </c>
      <c r="U26" s="112">
        <f t="shared" si="59"/>
        <v>0</v>
      </c>
      <c r="V26" s="112">
        <f t="shared" si="59"/>
        <v>0</v>
      </c>
      <c r="W26" s="112"/>
      <c r="X26" s="79"/>
      <c r="Y26" s="112">
        <f t="shared" ref="Y26:AG26" si="60">SUM(Y27:Y33)</f>
        <v>0</v>
      </c>
      <c r="Z26" s="267">
        <f t="shared" si="60"/>
        <v>0</v>
      </c>
      <c r="AA26" s="112">
        <f t="shared" si="60"/>
        <v>0</v>
      </c>
      <c r="AB26" s="112">
        <f t="shared" si="60"/>
        <v>0</v>
      </c>
      <c r="AC26" s="112">
        <f t="shared" si="60"/>
        <v>0</v>
      </c>
      <c r="AD26" s="175">
        <f t="shared" si="60"/>
        <v>0</v>
      </c>
      <c r="AE26" s="112">
        <f t="shared" si="60"/>
        <v>0</v>
      </c>
      <c r="AF26" s="112">
        <f t="shared" si="60"/>
        <v>0</v>
      </c>
      <c r="AG26" s="112">
        <f t="shared" si="60"/>
        <v>0</v>
      </c>
      <c r="AH26" s="112"/>
      <c r="AI26" s="79"/>
      <c r="AJ26" s="112">
        <f t="shared" ref="AJ26:AR26" si="61">SUM(AJ27:AJ33)</f>
        <v>120</v>
      </c>
      <c r="AK26" s="267">
        <f t="shared" si="61"/>
        <v>8</v>
      </c>
      <c r="AL26" s="112">
        <f t="shared" si="61"/>
        <v>120</v>
      </c>
      <c r="AM26" s="112">
        <f t="shared" si="61"/>
        <v>120</v>
      </c>
      <c r="AN26" s="112">
        <f t="shared" si="61"/>
        <v>0</v>
      </c>
      <c r="AO26" s="175">
        <f t="shared" si="61"/>
        <v>0</v>
      </c>
      <c r="AP26" s="112">
        <f t="shared" si="61"/>
        <v>0</v>
      </c>
      <c r="AQ26" s="112">
        <f t="shared" si="61"/>
        <v>0</v>
      </c>
      <c r="AR26" s="112">
        <f t="shared" si="61"/>
        <v>0</v>
      </c>
      <c r="AS26" s="112"/>
      <c r="AT26" s="77"/>
      <c r="AU26" s="112">
        <f t="shared" ref="AU26:BC26" si="62">SUM(AU27:AU33)</f>
        <v>120</v>
      </c>
      <c r="AV26" s="267">
        <f t="shared" si="62"/>
        <v>6</v>
      </c>
      <c r="AW26" s="112">
        <f t="shared" si="62"/>
        <v>120</v>
      </c>
      <c r="AX26" s="112">
        <f t="shared" si="62"/>
        <v>120</v>
      </c>
      <c r="AY26" s="112">
        <f t="shared" si="62"/>
        <v>0</v>
      </c>
      <c r="AZ26" s="175">
        <f t="shared" si="62"/>
        <v>0</v>
      </c>
      <c r="BA26" s="112">
        <f t="shared" si="62"/>
        <v>0</v>
      </c>
      <c r="BB26" s="112">
        <f t="shared" si="62"/>
        <v>0</v>
      </c>
      <c r="BC26" s="112">
        <f t="shared" si="62"/>
        <v>0</v>
      </c>
      <c r="BD26" s="112"/>
      <c r="BE26" s="77"/>
      <c r="BF26" s="112">
        <f t="shared" ref="BF26:BN26" si="63">SUM(BF27:BF33)</f>
        <v>48</v>
      </c>
      <c r="BG26" s="267">
        <f t="shared" si="63"/>
        <v>4</v>
      </c>
      <c r="BH26" s="112">
        <f t="shared" si="63"/>
        <v>48</v>
      </c>
      <c r="BI26" s="112">
        <f t="shared" si="63"/>
        <v>48</v>
      </c>
      <c r="BJ26" s="112">
        <f t="shared" si="63"/>
        <v>0</v>
      </c>
      <c r="BK26" s="112">
        <f t="shared" si="63"/>
        <v>0</v>
      </c>
      <c r="BL26" s="112">
        <f t="shared" si="63"/>
        <v>0</v>
      </c>
      <c r="BM26" s="112">
        <f t="shared" si="63"/>
        <v>0</v>
      </c>
      <c r="BN26" s="112">
        <f t="shared" si="63"/>
        <v>0</v>
      </c>
      <c r="BO26" s="112"/>
      <c r="BP26" s="79"/>
      <c r="BQ26" s="112">
        <f t="shared" ref="BQ26:BY26" si="64">SUM(BQ27:BQ33)</f>
        <v>76</v>
      </c>
      <c r="BR26" s="267">
        <f t="shared" si="64"/>
        <v>4.2222222222222223</v>
      </c>
      <c r="BS26" s="267">
        <f t="shared" si="64"/>
        <v>76</v>
      </c>
      <c r="BT26" s="112">
        <f t="shared" si="64"/>
        <v>76</v>
      </c>
      <c r="BU26" s="112">
        <f t="shared" si="64"/>
        <v>0</v>
      </c>
      <c r="BV26" s="112">
        <f t="shared" si="64"/>
        <v>0</v>
      </c>
      <c r="BW26" s="112">
        <f t="shared" si="64"/>
        <v>0</v>
      </c>
      <c r="BX26" s="112">
        <f t="shared" si="64"/>
        <v>0</v>
      </c>
      <c r="BY26" s="112">
        <f t="shared" si="64"/>
        <v>0</v>
      </c>
      <c r="BZ26" s="112"/>
      <c r="CA26" s="79"/>
      <c r="CB26" s="112">
        <f t="shared" ref="CB26:CJ26" si="65">SUM(CB27:CB33)</f>
        <v>168</v>
      </c>
      <c r="CC26" s="267">
        <f t="shared" si="65"/>
        <v>9.884705882352943</v>
      </c>
      <c r="CD26" s="112">
        <f t="shared" si="65"/>
        <v>168</v>
      </c>
      <c r="CE26" s="112">
        <f t="shared" si="65"/>
        <v>138</v>
      </c>
      <c r="CF26" s="112">
        <f t="shared" si="65"/>
        <v>30</v>
      </c>
      <c r="CG26" s="175">
        <f t="shared" si="65"/>
        <v>0</v>
      </c>
      <c r="CH26" s="112">
        <f t="shared" si="65"/>
        <v>0</v>
      </c>
      <c r="CI26" s="112">
        <f t="shared" si="65"/>
        <v>0</v>
      </c>
      <c r="CJ26" s="112">
        <f t="shared" si="65"/>
        <v>0</v>
      </c>
      <c r="CK26" s="112"/>
      <c r="CL26" s="131"/>
      <c r="CM26" s="15">
        <v>468</v>
      </c>
    </row>
    <row r="27" spans="1:91" ht="20.100000000000001" customHeight="1" x14ac:dyDescent="0.25">
      <c r="A27" s="6" t="s">
        <v>65</v>
      </c>
      <c r="B27" s="217" t="s">
        <v>14</v>
      </c>
      <c r="C27" s="233" t="s">
        <v>237</v>
      </c>
      <c r="D27" s="41">
        <f>N27+Y27+AJ27+AU27+BF27+BQ27+CB27</f>
        <v>48</v>
      </c>
      <c r="E27" s="49"/>
      <c r="F27" s="49">
        <f>P27+AA27+AL27+AW27+BH27+BS27+CD27</f>
        <v>48</v>
      </c>
      <c r="G27" s="49">
        <f>Q27+AB27+AM27+AX27+BI27+BT27+CE27</f>
        <v>48</v>
      </c>
      <c r="H27" s="49"/>
      <c r="I27" s="49">
        <f>R27+AC27+AN27+AY27+BJ27+BU27+CF27</f>
        <v>0</v>
      </c>
      <c r="J27" s="49">
        <f>T27+AE27+AP27+BA27+BL27+BW27+CH27</f>
        <v>0</v>
      </c>
      <c r="K27" s="49">
        <f>U27+AF27+AQ27+BB27+BM27+BX27+CI27</f>
        <v>0</v>
      </c>
      <c r="L27" s="49">
        <f>V27+AG27+AR27+BC27+BN27+BY27+CJ27</f>
        <v>0</v>
      </c>
      <c r="M27" s="78"/>
      <c r="N27" s="92">
        <f>P27+U27+V27</f>
        <v>0</v>
      </c>
      <c r="O27" s="268"/>
      <c r="P27" s="95">
        <f>O27*$CN$9</f>
        <v>0</v>
      </c>
      <c r="Q27" s="96">
        <f>P27-R27</f>
        <v>0</v>
      </c>
      <c r="R27" s="84"/>
      <c r="S27" s="176"/>
      <c r="T27" s="172"/>
      <c r="U27" s="87"/>
      <c r="V27" s="90"/>
      <c r="W27" s="182"/>
      <c r="X27" s="78"/>
      <c r="Y27" s="92">
        <f t="shared" ref="Y27:Y33" si="66">AA27+AF27+AG27</f>
        <v>0</v>
      </c>
      <c r="Z27" s="268"/>
      <c r="AA27" s="95">
        <f>Z27*$CN$9</f>
        <v>0</v>
      </c>
      <c r="AB27" s="96">
        <f>AA27-AC27</f>
        <v>0</v>
      </c>
      <c r="AC27" s="84"/>
      <c r="AD27" s="176"/>
      <c r="AE27" s="172"/>
      <c r="AF27" s="87"/>
      <c r="AG27" s="90"/>
      <c r="AH27" s="182"/>
      <c r="AI27" s="78"/>
      <c r="AJ27" s="92">
        <f t="shared" ref="AJ27:AJ33" si="67">AL27+AQ27+AR27</f>
        <v>0</v>
      </c>
      <c r="AK27" s="268"/>
      <c r="AL27" s="95">
        <f>AK27*$CN$8</f>
        <v>0</v>
      </c>
      <c r="AM27" s="96">
        <f>AL27-AN27</f>
        <v>0</v>
      </c>
      <c r="AN27" s="84"/>
      <c r="AO27" s="176"/>
      <c r="AP27" s="172"/>
      <c r="AQ27" s="87"/>
      <c r="AR27" s="90"/>
      <c r="AS27" s="182"/>
      <c r="AT27" s="78"/>
      <c r="AU27" s="92">
        <f t="shared" ref="AU27:AU33" si="68">AW27+BB27+BC27</f>
        <v>0</v>
      </c>
      <c r="AV27" s="268"/>
      <c r="AW27" s="95">
        <f>AV27*$CN$9</f>
        <v>0</v>
      </c>
      <c r="AX27" s="96">
        <f>AW27-AY27</f>
        <v>0</v>
      </c>
      <c r="AY27" s="84"/>
      <c r="AZ27" s="176"/>
      <c r="BA27" s="172"/>
      <c r="BB27" s="87"/>
      <c r="BC27" s="90"/>
      <c r="BD27" s="182"/>
      <c r="BE27" s="78"/>
      <c r="BF27" s="92">
        <f t="shared" ref="BF27:BF33" si="69">BH27+BM27+BN27</f>
        <v>0</v>
      </c>
      <c r="BG27" s="268"/>
      <c r="BH27" s="95">
        <f>BG27*$CN$10</f>
        <v>0</v>
      </c>
      <c r="BI27" s="96">
        <f>BH27-BJ27</f>
        <v>0</v>
      </c>
      <c r="BJ27" s="84"/>
      <c r="BK27" s="176"/>
      <c r="BL27" s="172"/>
      <c r="BM27" s="87"/>
      <c r="BN27" s="90"/>
      <c r="BO27" s="182"/>
      <c r="BP27" s="78"/>
      <c r="BQ27" s="92">
        <f>BS27+BX27+BY27</f>
        <v>0</v>
      </c>
      <c r="BR27" s="268"/>
      <c r="BS27" s="324">
        <f>BR27*$CN$11</f>
        <v>0</v>
      </c>
      <c r="BT27" s="96">
        <f>BS27-BU27</f>
        <v>0</v>
      </c>
      <c r="BU27" s="84"/>
      <c r="BV27" s="176"/>
      <c r="BW27" s="172"/>
      <c r="BX27" s="87"/>
      <c r="BY27" s="90"/>
      <c r="BZ27" s="182"/>
      <c r="CA27" s="78"/>
      <c r="CB27" s="92">
        <v>48</v>
      </c>
      <c r="CC27" s="268">
        <f>CD27/17</f>
        <v>2.8235294117647061</v>
      </c>
      <c r="CD27" s="95">
        <f>48</f>
        <v>48</v>
      </c>
      <c r="CE27" s="96">
        <f>CD27-CF27</f>
        <v>48</v>
      </c>
      <c r="CF27" s="84"/>
      <c r="CG27" s="176"/>
      <c r="CH27" s="172"/>
      <c r="CI27" s="87"/>
      <c r="CJ27" s="90"/>
      <c r="CK27" s="182" t="s">
        <v>95</v>
      </c>
      <c r="CL27" s="139"/>
      <c r="CM27" s="14">
        <v>48</v>
      </c>
    </row>
    <row r="28" spans="1:91" ht="15.75" customHeight="1" x14ac:dyDescent="0.25">
      <c r="A28" s="6" t="s">
        <v>67</v>
      </c>
      <c r="B28" s="217" t="s">
        <v>6</v>
      </c>
      <c r="C28" s="238" t="s">
        <v>95</v>
      </c>
      <c r="D28" s="41">
        <f>N28+Y28+AJ28+AU28+BF28+BQ28+CB28</f>
        <v>40</v>
      </c>
      <c r="E28" s="49"/>
      <c r="F28" s="49">
        <f>P28+AA28+AL28+AW28+BH28+BS28+CD28</f>
        <v>40</v>
      </c>
      <c r="G28" s="49">
        <f>Q28+AB28+AM28+AX28+BI28+BT28+CE28</f>
        <v>40</v>
      </c>
      <c r="H28" s="49">
        <f>S28+AD28+AO28+AZ28+BK28+BV28+CG28</f>
        <v>0</v>
      </c>
      <c r="I28" s="49">
        <f>R28+AC28+AN28+AY28+BJ28+BU28+CF28</f>
        <v>0</v>
      </c>
      <c r="J28" s="49">
        <f>T28+AE28+AP28+BA28+BL28+BW28+CH28</f>
        <v>0</v>
      </c>
      <c r="K28" s="49">
        <f>U28+AF28+AQ28+BB28+BM28+BX28+CI28</f>
        <v>0</v>
      </c>
      <c r="L28" s="49">
        <f>V28+AG28+AR28+BC28+BN28+BY28+CJ28</f>
        <v>0</v>
      </c>
      <c r="M28" s="78"/>
      <c r="N28" s="92">
        <f>P28+U28+V28</f>
        <v>0</v>
      </c>
      <c r="O28" s="268"/>
      <c r="P28" s="95">
        <f t="shared" ref="P28:P33" si="70">O28*$CN$9</f>
        <v>0</v>
      </c>
      <c r="Q28" s="96">
        <f t="shared" ref="Q28:Q33" si="71">P28-R28</f>
        <v>0</v>
      </c>
      <c r="R28" s="84"/>
      <c r="S28" s="176"/>
      <c r="T28" s="172"/>
      <c r="U28" s="87"/>
      <c r="V28" s="90"/>
      <c r="W28" s="182"/>
      <c r="X28" s="78"/>
      <c r="Y28" s="92">
        <f t="shared" si="66"/>
        <v>0</v>
      </c>
      <c r="Z28" s="268"/>
      <c r="AA28" s="95">
        <f t="shared" ref="AA28:AA33" si="72">Z28*$CN$9</f>
        <v>0</v>
      </c>
      <c r="AB28" s="96">
        <f t="shared" ref="AB28:AB33" si="73">AA28-AC28</f>
        <v>0</v>
      </c>
      <c r="AC28" s="84"/>
      <c r="AD28" s="176"/>
      <c r="AE28" s="172"/>
      <c r="AF28" s="87"/>
      <c r="AG28" s="90"/>
      <c r="AH28" s="182"/>
      <c r="AI28" s="78"/>
      <c r="AJ28" s="92">
        <f t="shared" si="67"/>
        <v>0</v>
      </c>
      <c r="AK28" s="268"/>
      <c r="AL28" s="95">
        <f t="shared" ref="AL28:AL33" si="74">AK28*$CN$8</f>
        <v>0</v>
      </c>
      <c r="AM28" s="96">
        <f t="shared" ref="AM28:AM33" si="75">AL28-AN28</f>
        <v>0</v>
      </c>
      <c r="AN28" s="84"/>
      <c r="AO28" s="176"/>
      <c r="AP28" s="172"/>
      <c r="AQ28" s="87"/>
      <c r="AR28" s="90"/>
      <c r="AS28" s="182"/>
      <c r="AT28" s="78"/>
      <c r="AU28" s="92">
        <f t="shared" si="68"/>
        <v>40</v>
      </c>
      <c r="AV28" s="268">
        <v>2</v>
      </c>
      <c r="AW28" s="95">
        <f t="shared" ref="AW28:AW33" si="76">AV28*$CN$9</f>
        <v>40</v>
      </c>
      <c r="AX28" s="96">
        <f t="shared" ref="AX28:AX33" si="77">AW28-AY28</f>
        <v>40</v>
      </c>
      <c r="AY28" s="84"/>
      <c r="AZ28" s="176"/>
      <c r="BA28" s="172"/>
      <c r="BB28" s="87"/>
      <c r="BC28" s="90"/>
      <c r="BD28" s="182" t="s">
        <v>95</v>
      </c>
      <c r="BE28" s="78"/>
      <c r="BF28" s="92">
        <f t="shared" si="69"/>
        <v>0</v>
      </c>
      <c r="BG28" s="268"/>
      <c r="BH28" s="95">
        <f t="shared" ref="BH28:BH33" si="78">BG28*$CN$10</f>
        <v>0</v>
      </c>
      <c r="BI28" s="96">
        <f t="shared" ref="BI28:BI33" si="79">BH28-BJ28</f>
        <v>0</v>
      </c>
      <c r="BJ28" s="84"/>
      <c r="BK28" s="176"/>
      <c r="BL28" s="172"/>
      <c r="BM28" s="87"/>
      <c r="BN28" s="90"/>
      <c r="BO28" s="182"/>
      <c r="BP28" s="78"/>
      <c r="BQ28" s="92">
        <f>BS28+BX28+BY28</f>
        <v>0</v>
      </c>
      <c r="BR28" s="268"/>
      <c r="BS28" s="324">
        <f t="shared" ref="BS28:BS33" si="80">BR28*$CN$11</f>
        <v>0</v>
      </c>
      <c r="BT28" s="96">
        <f t="shared" ref="BT28:BT33" si="81">BS28-BU28</f>
        <v>0</v>
      </c>
      <c r="BU28" s="84"/>
      <c r="BV28" s="176"/>
      <c r="BW28" s="172"/>
      <c r="BX28" s="87"/>
      <c r="BY28" s="90"/>
      <c r="BZ28" s="182"/>
      <c r="CA28" s="78"/>
      <c r="CB28" s="92">
        <f>CD28+CI28+CJ28</f>
        <v>0</v>
      </c>
      <c r="CC28" s="268"/>
      <c r="CD28" s="95">
        <f>CC28*$CN$12</f>
        <v>0</v>
      </c>
      <c r="CE28" s="96">
        <f t="shared" ref="CE28:CE33" si="82">CD28-CF28</f>
        <v>0</v>
      </c>
      <c r="CF28" s="84"/>
      <c r="CG28" s="176"/>
      <c r="CH28" s="172"/>
      <c r="CI28" s="87"/>
      <c r="CJ28" s="90"/>
      <c r="CK28" s="182"/>
      <c r="CL28" s="139"/>
      <c r="CM28" s="14">
        <v>36</v>
      </c>
    </row>
    <row r="29" spans="1:91" ht="20.100000000000001" customHeight="1" x14ac:dyDescent="0.25">
      <c r="A29" s="6" t="s">
        <v>68</v>
      </c>
      <c r="B29" s="217" t="s">
        <v>106</v>
      </c>
      <c r="C29" s="239" t="s">
        <v>95</v>
      </c>
      <c r="D29" s="41">
        <f>N29+Y29+AJ29+AU29+BF29+BQ29+CB29</f>
        <v>48</v>
      </c>
      <c r="E29" s="49"/>
      <c r="F29" s="49">
        <f>P29+AA29+AL29+AW29+BH29+BS29+CD29</f>
        <v>48</v>
      </c>
      <c r="G29" s="49">
        <f>Q29+AB29+AM29+AX29+BI29+BT29+CE29</f>
        <v>48</v>
      </c>
      <c r="H29" s="49">
        <f>S29+AD29+AO29+AZ29+BK29+BV29+CG29</f>
        <v>0</v>
      </c>
      <c r="I29" s="49">
        <f>R29+AC29+AN29+AY29+BJ29+BU29+CF29</f>
        <v>0</v>
      </c>
      <c r="J29" s="49">
        <f>T29+AE29+AP29+BA29+BL29+BW29+CH29</f>
        <v>0</v>
      </c>
      <c r="K29" s="49">
        <f>U29+AF29+AQ29+BB29+BM29+BX29+CI29</f>
        <v>0</v>
      </c>
      <c r="L29" s="49">
        <f>V29+AG29+AR29+BC29+BN29+BY29+CJ29</f>
        <v>0</v>
      </c>
      <c r="M29" s="78"/>
      <c r="N29" s="92">
        <f>P29+U29+V29</f>
        <v>0</v>
      </c>
      <c r="O29" s="268"/>
      <c r="P29" s="95">
        <f t="shared" si="70"/>
        <v>0</v>
      </c>
      <c r="Q29" s="96">
        <f t="shared" si="71"/>
        <v>0</v>
      </c>
      <c r="R29" s="84"/>
      <c r="S29" s="176"/>
      <c r="T29" s="172"/>
      <c r="U29" s="87"/>
      <c r="V29" s="90"/>
      <c r="W29" s="182"/>
      <c r="X29" s="78"/>
      <c r="Y29" s="92">
        <f t="shared" si="66"/>
        <v>0</v>
      </c>
      <c r="Z29" s="268"/>
      <c r="AA29" s="95">
        <f t="shared" si="72"/>
        <v>0</v>
      </c>
      <c r="AB29" s="96">
        <f t="shared" si="73"/>
        <v>0</v>
      </c>
      <c r="AC29" s="84"/>
      <c r="AD29" s="176"/>
      <c r="AE29" s="172"/>
      <c r="AF29" s="87"/>
      <c r="AG29" s="90"/>
      <c r="AH29" s="182"/>
      <c r="AI29" s="78"/>
      <c r="AJ29" s="92">
        <f t="shared" si="67"/>
        <v>0</v>
      </c>
      <c r="AK29" s="268"/>
      <c r="AL29" s="95">
        <f t="shared" si="74"/>
        <v>0</v>
      </c>
      <c r="AM29" s="96">
        <f t="shared" si="75"/>
        <v>0</v>
      </c>
      <c r="AN29" s="84"/>
      <c r="AO29" s="176"/>
      <c r="AP29" s="172"/>
      <c r="AQ29" s="87"/>
      <c r="AR29" s="90"/>
      <c r="AS29" s="182"/>
      <c r="AT29" s="78"/>
      <c r="AU29" s="92">
        <f t="shared" si="68"/>
        <v>0</v>
      </c>
      <c r="AV29" s="268"/>
      <c r="AW29" s="95">
        <f t="shared" si="76"/>
        <v>0</v>
      </c>
      <c r="AX29" s="96">
        <f t="shared" si="77"/>
        <v>0</v>
      </c>
      <c r="AY29" s="84"/>
      <c r="AZ29" s="176"/>
      <c r="BA29" s="172"/>
      <c r="BB29" s="87"/>
      <c r="BC29" s="90"/>
      <c r="BD29" s="182"/>
      <c r="BE29" s="78"/>
      <c r="BF29" s="92">
        <f t="shared" si="69"/>
        <v>0</v>
      </c>
      <c r="BG29" s="268"/>
      <c r="BH29" s="95">
        <f t="shared" si="78"/>
        <v>0</v>
      </c>
      <c r="BI29" s="96">
        <f t="shared" si="79"/>
        <v>0</v>
      </c>
      <c r="BJ29" s="84"/>
      <c r="BK29" s="176"/>
      <c r="BL29" s="172"/>
      <c r="BM29" s="87"/>
      <c r="BN29" s="90"/>
      <c r="BO29" s="182"/>
      <c r="BP29" s="78"/>
      <c r="BQ29" s="92">
        <f>BS29+BX29+BY29</f>
        <v>0</v>
      </c>
      <c r="BR29" s="268"/>
      <c r="BS29" s="324">
        <f t="shared" si="80"/>
        <v>0</v>
      </c>
      <c r="BT29" s="96">
        <f t="shared" si="81"/>
        <v>0</v>
      </c>
      <c r="BU29" s="84"/>
      <c r="BV29" s="176"/>
      <c r="BW29" s="172"/>
      <c r="BX29" s="87"/>
      <c r="BY29" s="90"/>
      <c r="BZ29" s="182"/>
      <c r="CA29" s="78"/>
      <c r="CB29" s="92">
        <v>48</v>
      </c>
      <c r="CC29" s="268">
        <f>CD29/17</f>
        <v>2.8235294117647061</v>
      </c>
      <c r="CD29" s="95">
        <v>48</v>
      </c>
      <c r="CE29" s="96">
        <f t="shared" si="82"/>
        <v>48</v>
      </c>
      <c r="CF29" s="84"/>
      <c r="CG29" s="176"/>
      <c r="CH29" s="172"/>
      <c r="CI29" s="87"/>
      <c r="CJ29" s="90"/>
      <c r="CK29" s="182" t="s">
        <v>95</v>
      </c>
      <c r="CL29" s="139"/>
      <c r="CM29" s="14">
        <v>48</v>
      </c>
    </row>
    <row r="30" spans="1:91" ht="27" customHeight="1" x14ac:dyDescent="0.25">
      <c r="A30" s="6" t="s">
        <v>70</v>
      </c>
      <c r="B30" s="217" t="s">
        <v>5</v>
      </c>
      <c r="C30" s="238" t="s">
        <v>290</v>
      </c>
      <c r="D30" s="41">
        <f>N30+Y30+AJ30+AU30+BF30+BQ30+CB30</f>
        <v>168</v>
      </c>
      <c r="E30" s="49"/>
      <c r="F30" s="49">
        <f>P30+AA30+AL30+AW30+BH30+BS30+CD30</f>
        <v>168</v>
      </c>
      <c r="G30" s="49"/>
      <c r="H30" s="49">
        <f>S30+AD30+AO30+AZ30+BK30+BV30+CG30</f>
        <v>0</v>
      </c>
      <c r="I30" s="49">
        <v>168</v>
      </c>
      <c r="J30" s="49">
        <f>T30+AE30+AP30+BA30+BL30+BW30+CH30</f>
        <v>0</v>
      </c>
      <c r="K30" s="49">
        <f>U30+AF30+AQ30+BB30+BM30+BX30+CI30</f>
        <v>0</v>
      </c>
      <c r="L30" s="49">
        <f>V30+AG30+AR30+BC30+BN30+BY30+CJ30</f>
        <v>0</v>
      </c>
      <c r="M30" s="78"/>
      <c r="N30" s="92">
        <f>P30+U30+V30</f>
        <v>0</v>
      </c>
      <c r="O30" s="268"/>
      <c r="P30" s="95">
        <f t="shared" si="70"/>
        <v>0</v>
      </c>
      <c r="Q30" s="96">
        <f t="shared" si="71"/>
        <v>0</v>
      </c>
      <c r="R30" s="84"/>
      <c r="S30" s="176"/>
      <c r="T30" s="172"/>
      <c r="U30" s="87"/>
      <c r="V30" s="90"/>
      <c r="W30" s="182"/>
      <c r="X30" s="78"/>
      <c r="Y30" s="92">
        <f t="shared" si="66"/>
        <v>0</v>
      </c>
      <c r="Z30" s="268"/>
      <c r="AA30" s="95">
        <f t="shared" si="72"/>
        <v>0</v>
      </c>
      <c r="AB30" s="96">
        <f t="shared" si="73"/>
        <v>0</v>
      </c>
      <c r="AC30" s="84"/>
      <c r="AD30" s="176"/>
      <c r="AE30" s="172"/>
      <c r="AF30" s="87"/>
      <c r="AG30" s="90"/>
      <c r="AH30" s="182"/>
      <c r="AI30" s="78"/>
      <c r="AJ30" s="92">
        <f t="shared" si="67"/>
        <v>30</v>
      </c>
      <c r="AK30" s="268">
        <v>2</v>
      </c>
      <c r="AL30" s="95">
        <f t="shared" si="74"/>
        <v>30</v>
      </c>
      <c r="AM30" s="96">
        <f t="shared" si="75"/>
        <v>30</v>
      </c>
      <c r="AN30" s="84"/>
      <c r="AO30" s="176"/>
      <c r="AP30" s="172"/>
      <c r="AQ30" s="87"/>
      <c r="AR30" s="90"/>
      <c r="AS30" s="182" t="s">
        <v>237</v>
      </c>
      <c r="AT30" s="78"/>
      <c r="AU30" s="92">
        <f t="shared" si="68"/>
        <v>40</v>
      </c>
      <c r="AV30" s="268">
        <v>2</v>
      </c>
      <c r="AW30" s="95">
        <f t="shared" si="76"/>
        <v>40</v>
      </c>
      <c r="AX30" s="96">
        <f t="shared" si="77"/>
        <v>40</v>
      </c>
      <c r="AY30" s="84"/>
      <c r="AZ30" s="176"/>
      <c r="BA30" s="172"/>
      <c r="BB30" s="87"/>
      <c r="BC30" s="90"/>
      <c r="BD30" s="182" t="s">
        <v>95</v>
      </c>
      <c r="BE30" s="78"/>
      <c r="BF30" s="92">
        <f t="shared" si="69"/>
        <v>24</v>
      </c>
      <c r="BG30" s="268">
        <v>2</v>
      </c>
      <c r="BH30" s="95">
        <f t="shared" si="78"/>
        <v>24</v>
      </c>
      <c r="BI30" s="96">
        <f t="shared" si="79"/>
        <v>24</v>
      </c>
      <c r="BJ30" s="84"/>
      <c r="BK30" s="176"/>
      <c r="BL30" s="172"/>
      <c r="BM30" s="87"/>
      <c r="BN30" s="90"/>
      <c r="BO30" s="182" t="s">
        <v>237</v>
      </c>
      <c r="BP30" s="79"/>
      <c r="BQ30" s="92">
        <f t="shared" ref="BQ30:BQ31" si="83">BS30+BX30+BY30</f>
        <v>38</v>
      </c>
      <c r="BR30" s="268">
        <f>BS30/18</f>
        <v>2.1111111111111112</v>
      </c>
      <c r="BS30" s="324">
        <v>38</v>
      </c>
      <c r="BT30" s="96">
        <f t="shared" si="81"/>
        <v>38</v>
      </c>
      <c r="BU30" s="84"/>
      <c r="BV30" s="176"/>
      <c r="BW30" s="172"/>
      <c r="BX30" s="87"/>
      <c r="BY30" s="90"/>
      <c r="BZ30" s="182" t="s">
        <v>95</v>
      </c>
      <c r="CA30" s="79"/>
      <c r="CB30" s="92">
        <v>36</v>
      </c>
      <c r="CC30" s="268">
        <f>CD30/17</f>
        <v>2.1176470588235294</v>
      </c>
      <c r="CD30" s="95">
        <v>36</v>
      </c>
      <c r="CE30" s="96">
        <f t="shared" si="82"/>
        <v>6</v>
      </c>
      <c r="CF30" s="84">
        <v>30</v>
      </c>
      <c r="CG30" s="176"/>
      <c r="CH30" s="172"/>
      <c r="CI30" s="87"/>
      <c r="CJ30" s="90"/>
      <c r="CK30" s="182" t="s">
        <v>95</v>
      </c>
      <c r="CL30" s="139"/>
      <c r="CM30" s="14">
        <v>168</v>
      </c>
    </row>
    <row r="31" spans="1:91" ht="17.25" customHeight="1" x14ac:dyDescent="0.25">
      <c r="A31" s="6" t="s">
        <v>132</v>
      </c>
      <c r="B31" s="217" t="s">
        <v>9</v>
      </c>
      <c r="C31" s="238" t="s">
        <v>370</v>
      </c>
      <c r="D31" s="41">
        <f>N31+Y31+AJ31+AU31+BF31+BQ31+CB31</f>
        <v>168</v>
      </c>
      <c r="E31" s="49"/>
      <c r="F31" s="49">
        <f>P31+AA31+AL31+AW31+BH31+BS31+CD31</f>
        <v>168</v>
      </c>
      <c r="G31" s="49">
        <f>Q31+AB31+AM31+AX31+BI31+BT31+CE31</f>
        <v>168</v>
      </c>
      <c r="H31" s="49">
        <f>S31+AD31+AO31+AZ31+BK31+BV31+CG31</f>
        <v>0</v>
      </c>
      <c r="I31" s="49">
        <f>R31+AC31+AN31+AY31+BJ31+BU31+CF31</f>
        <v>0</v>
      </c>
      <c r="J31" s="49">
        <f>T31+AE31+AP31+BA31+BL31+BW31+CH31</f>
        <v>0</v>
      </c>
      <c r="K31" s="49">
        <f>U31+AF31+AQ31+BB31+BM31+BX31+CI31</f>
        <v>0</v>
      </c>
      <c r="L31" s="49">
        <f>V31+AG31+AR31+BC31+BN31+BY31+CJ31</f>
        <v>0</v>
      </c>
      <c r="M31" s="78"/>
      <c r="N31" s="92">
        <f>P31+U31+V31</f>
        <v>0</v>
      </c>
      <c r="O31" s="268"/>
      <c r="P31" s="95">
        <f t="shared" si="70"/>
        <v>0</v>
      </c>
      <c r="Q31" s="96">
        <f t="shared" si="71"/>
        <v>0</v>
      </c>
      <c r="R31" s="84"/>
      <c r="S31" s="176"/>
      <c r="T31" s="172"/>
      <c r="U31" s="87"/>
      <c r="V31" s="90"/>
      <c r="W31" s="182"/>
      <c r="X31" s="78"/>
      <c r="Y31" s="92">
        <f t="shared" si="66"/>
        <v>0</v>
      </c>
      <c r="Z31" s="268"/>
      <c r="AA31" s="95">
        <f t="shared" si="72"/>
        <v>0</v>
      </c>
      <c r="AB31" s="96">
        <f t="shared" si="73"/>
        <v>0</v>
      </c>
      <c r="AC31" s="84"/>
      <c r="AD31" s="176"/>
      <c r="AE31" s="172"/>
      <c r="AF31" s="87"/>
      <c r="AG31" s="90"/>
      <c r="AH31" s="182"/>
      <c r="AI31" s="78"/>
      <c r="AJ31" s="92">
        <f t="shared" si="67"/>
        <v>30</v>
      </c>
      <c r="AK31" s="268">
        <v>2</v>
      </c>
      <c r="AL31" s="95">
        <f t="shared" si="74"/>
        <v>30</v>
      </c>
      <c r="AM31" s="96">
        <f t="shared" si="75"/>
        <v>30</v>
      </c>
      <c r="AN31" s="84"/>
      <c r="AO31" s="176"/>
      <c r="AP31" s="172"/>
      <c r="AQ31" s="87"/>
      <c r="AR31" s="90"/>
      <c r="AS31" s="182" t="s">
        <v>96</v>
      </c>
      <c r="AT31" s="78"/>
      <c r="AU31" s="92">
        <f t="shared" si="68"/>
        <v>40</v>
      </c>
      <c r="AV31" s="268">
        <v>2</v>
      </c>
      <c r="AW31" s="95">
        <f t="shared" si="76"/>
        <v>40</v>
      </c>
      <c r="AX31" s="96">
        <f t="shared" si="77"/>
        <v>40</v>
      </c>
      <c r="AY31" s="84"/>
      <c r="AZ31" s="176"/>
      <c r="BA31" s="172"/>
      <c r="BB31" s="87"/>
      <c r="BC31" s="90"/>
      <c r="BD31" s="182" t="s">
        <v>96</v>
      </c>
      <c r="BE31" s="78"/>
      <c r="BF31" s="92">
        <f t="shared" si="69"/>
        <v>24</v>
      </c>
      <c r="BG31" s="268">
        <v>2</v>
      </c>
      <c r="BH31" s="95">
        <f t="shared" si="78"/>
        <v>24</v>
      </c>
      <c r="BI31" s="96">
        <f t="shared" si="79"/>
        <v>24</v>
      </c>
      <c r="BJ31" s="84"/>
      <c r="BK31" s="176"/>
      <c r="BL31" s="172"/>
      <c r="BM31" s="87"/>
      <c r="BN31" s="90"/>
      <c r="BO31" s="182" t="s">
        <v>96</v>
      </c>
      <c r="BP31" s="79"/>
      <c r="BQ31" s="92">
        <f t="shared" si="83"/>
        <v>38</v>
      </c>
      <c r="BR31" s="268">
        <f>BS31/18</f>
        <v>2.1111111111111112</v>
      </c>
      <c r="BS31" s="324">
        <v>38</v>
      </c>
      <c r="BT31" s="96">
        <f t="shared" si="81"/>
        <v>38</v>
      </c>
      <c r="BU31" s="84"/>
      <c r="BV31" s="176"/>
      <c r="BW31" s="172"/>
      <c r="BX31" s="87"/>
      <c r="BY31" s="90"/>
      <c r="BZ31" s="182" t="s">
        <v>96</v>
      </c>
      <c r="CA31" s="79"/>
      <c r="CB31" s="92">
        <v>36</v>
      </c>
      <c r="CC31" s="268">
        <v>2.12</v>
      </c>
      <c r="CD31" s="95">
        <v>36</v>
      </c>
      <c r="CE31" s="96">
        <f t="shared" si="82"/>
        <v>36</v>
      </c>
      <c r="CF31" s="84"/>
      <c r="CG31" s="176"/>
      <c r="CH31" s="172"/>
      <c r="CI31" s="87"/>
      <c r="CJ31" s="90"/>
      <c r="CK31" s="182" t="s">
        <v>96</v>
      </c>
      <c r="CL31" s="139"/>
      <c r="CM31" s="14">
        <v>168</v>
      </c>
    </row>
    <row r="32" spans="1:91" ht="15.75" customHeight="1" x14ac:dyDescent="0.25">
      <c r="A32" s="6" t="s">
        <v>133</v>
      </c>
      <c r="B32" s="217" t="s">
        <v>15</v>
      </c>
      <c r="C32" s="238" t="s">
        <v>95</v>
      </c>
      <c r="D32" s="41">
        <f>N32+Y32+AJ32+AU32+BF32+BQ32+CB32</f>
        <v>30</v>
      </c>
      <c r="E32" s="49"/>
      <c r="F32" s="49">
        <f>P32+AA32+AL32+AW32+BH32+BS32+CD32</f>
        <v>30</v>
      </c>
      <c r="G32" s="49">
        <f>Q32+AB32+AM32+AX32+BI32+BT32+CE32</f>
        <v>30</v>
      </c>
      <c r="H32" s="49">
        <f>S32+AD32+AO32+AZ32+BK32+BV32+CG32</f>
        <v>0</v>
      </c>
      <c r="I32" s="49">
        <f>R32+AC32+AN32+AY32+BJ32+BU32+CF32</f>
        <v>0</v>
      </c>
      <c r="J32" s="49">
        <f>T32+AE32+AP32+BA32+BL32+BW32+CH32</f>
        <v>0</v>
      </c>
      <c r="K32" s="49">
        <f>U32+AF32+AQ32+BB32+BM32+BX32+CI32</f>
        <v>0</v>
      </c>
      <c r="L32" s="49">
        <f>V32+AG32+AR32+BC32+BN32+BY32+CJ32</f>
        <v>0</v>
      </c>
      <c r="M32" s="78"/>
      <c r="N32" s="92">
        <f>P32+U32+V32</f>
        <v>0</v>
      </c>
      <c r="O32" s="268"/>
      <c r="P32" s="95">
        <f t="shared" si="70"/>
        <v>0</v>
      </c>
      <c r="Q32" s="96">
        <f t="shared" si="71"/>
        <v>0</v>
      </c>
      <c r="R32" s="84"/>
      <c r="S32" s="176"/>
      <c r="T32" s="172"/>
      <c r="U32" s="87"/>
      <c r="V32" s="90"/>
      <c r="W32" s="182"/>
      <c r="X32" s="78"/>
      <c r="Y32" s="92">
        <f t="shared" si="66"/>
        <v>0</v>
      </c>
      <c r="Z32" s="268"/>
      <c r="AA32" s="95">
        <f t="shared" si="72"/>
        <v>0</v>
      </c>
      <c r="AB32" s="96">
        <f t="shared" si="73"/>
        <v>0</v>
      </c>
      <c r="AC32" s="84"/>
      <c r="AD32" s="176"/>
      <c r="AE32" s="172"/>
      <c r="AF32" s="87"/>
      <c r="AG32" s="90"/>
      <c r="AH32" s="182"/>
      <c r="AI32" s="80"/>
      <c r="AJ32" s="92">
        <f t="shared" si="67"/>
        <v>30</v>
      </c>
      <c r="AK32" s="268">
        <v>2</v>
      </c>
      <c r="AL32" s="95">
        <f t="shared" si="74"/>
        <v>30</v>
      </c>
      <c r="AM32" s="96">
        <f t="shared" si="75"/>
        <v>30</v>
      </c>
      <c r="AN32" s="84"/>
      <c r="AO32" s="176"/>
      <c r="AP32" s="172"/>
      <c r="AQ32" s="87"/>
      <c r="AR32" s="90"/>
      <c r="AS32" s="182" t="s">
        <v>237</v>
      </c>
      <c r="AT32" s="78"/>
      <c r="AU32" s="92">
        <f t="shared" si="68"/>
        <v>0</v>
      </c>
      <c r="AV32" s="268"/>
      <c r="AW32" s="95">
        <f t="shared" si="76"/>
        <v>0</v>
      </c>
      <c r="AX32" s="96">
        <f t="shared" si="77"/>
        <v>0</v>
      </c>
      <c r="AY32" s="84"/>
      <c r="AZ32" s="176"/>
      <c r="BA32" s="172"/>
      <c r="BB32" s="87"/>
      <c r="BC32" s="90"/>
      <c r="BD32" s="182"/>
      <c r="BE32" s="78"/>
      <c r="BF32" s="92">
        <f t="shared" si="69"/>
        <v>0</v>
      </c>
      <c r="BG32" s="268"/>
      <c r="BH32" s="95">
        <f t="shared" si="78"/>
        <v>0</v>
      </c>
      <c r="BI32" s="96">
        <f t="shared" si="79"/>
        <v>0</v>
      </c>
      <c r="BJ32" s="84"/>
      <c r="BK32" s="176"/>
      <c r="BL32" s="172"/>
      <c r="BM32" s="87"/>
      <c r="BN32" s="90"/>
      <c r="BO32" s="182"/>
      <c r="BP32" s="78"/>
      <c r="BQ32" s="92">
        <f>BS32+BX32+BY32</f>
        <v>0</v>
      </c>
      <c r="BR32" s="268"/>
      <c r="BS32" s="324">
        <f t="shared" si="80"/>
        <v>0</v>
      </c>
      <c r="BT32" s="96">
        <f t="shared" si="81"/>
        <v>0</v>
      </c>
      <c r="BU32" s="84"/>
      <c r="BV32" s="176"/>
      <c r="BW32" s="172"/>
      <c r="BX32" s="87"/>
      <c r="BY32" s="90"/>
      <c r="BZ32" s="182"/>
      <c r="CA32" s="78"/>
      <c r="CB32" s="92">
        <f>CD32+CI32+CJ32</f>
        <v>0</v>
      </c>
      <c r="CC32" s="268"/>
      <c r="CD32" s="95">
        <f>CC32*$CN$12</f>
        <v>0</v>
      </c>
      <c r="CE32" s="96">
        <f t="shared" si="82"/>
        <v>0</v>
      </c>
      <c r="CF32" s="84"/>
      <c r="CG32" s="176"/>
      <c r="CH32" s="172"/>
      <c r="CI32" s="87"/>
      <c r="CJ32" s="90"/>
      <c r="CK32" s="182"/>
      <c r="CL32" s="139"/>
    </row>
    <row r="33" spans="1:91" ht="16.5" customHeight="1" x14ac:dyDescent="0.25">
      <c r="A33" s="68" t="s">
        <v>72</v>
      </c>
      <c r="B33" s="218" t="s">
        <v>16</v>
      </c>
      <c r="C33" s="240" t="s">
        <v>96</v>
      </c>
      <c r="D33" s="41">
        <f>N33+Y33+AJ33+AU33+BF33+BQ33+CB33</f>
        <v>30</v>
      </c>
      <c r="E33" s="49"/>
      <c r="F33" s="49">
        <f>P33+AA33+AL33+AW33+BH33+BS33+CD33</f>
        <v>30</v>
      </c>
      <c r="G33" s="49">
        <f>Q33+AB33+AM33+AX33+BI33+BT33+CE33</f>
        <v>30</v>
      </c>
      <c r="H33" s="49">
        <f>S33+AD33+AO33+AZ33+BK33+BV33+CG33</f>
        <v>0</v>
      </c>
      <c r="I33" s="49">
        <f>R33+AC33+AN33+AY33+BJ33+BU33+CF33</f>
        <v>0</v>
      </c>
      <c r="J33" s="49">
        <f>T33+AE33+AP33+BA33+BL33+BW33+CH33</f>
        <v>0</v>
      </c>
      <c r="K33" s="49">
        <f>U33+AF33+AQ33+BB33+BM33+BX33+CI33</f>
        <v>0</v>
      </c>
      <c r="L33" s="49">
        <f>V33+AG33+AR33+BC33+BN33+BY33+CJ33</f>
        <v>0</v>
      </c>
      <c r="M33" s="80"/>
      <c r="N33" s="92">
        <f>P33+U33+V33</f>
        <v>0</v>
      </c>
      <c r="O33" s="269"/>
      <c r="P33" s="95">
        <f t="shared" si="70"/>
        <v>0</v>
      </c>
      <c r="Q33" s="96">
        <f t="shared" si="71"/>
        <v>0</v>
      </c>
      <c r="R33" s="85"/>
      <c r="S33" s="177"/>
      <c r="T33" s="173"/>
      <c r="U33" s="88"/>
      <c r="V33" s="91"/>
      <c r="W33" s="319"/>
      <c r="X33" s="80"/>
      <c r="Y33" s="92">
        <f t="shared" si="66"/>
        <v>0</v>
      </c>
      <c r="Z33" s="269"/>
      <c r="AA33" s="95">
        <f t="shared" si="72"/>
        <v>0</v>
      </c>
      <c r="AB33" s="96">
        <f t="shared" si="73"/>
        <v>0</v>
      </c>
      <c r="AC33" s="85"/>
      <c r="AD33" s="177"/>
      <c r="AE33" s="173"/>
      <c r="AF33" s="88"/>
      <c r="AG33" s="166"/>
      <c r="AH33" s="319"/>
      <c r="AI33" s="170"/>
      <c r="AJ33" s="169">
        <f t="shared" si="67"/>
        <v>30</v>
      </c>
      <c r="AK33" s="269">
        <v>2</v>
      </c>
      <c r="AL33" s="95">
        <f t="shared" si="74"/>
        <v>30</v>
      </c>
      <c r="AM33" s="96">
        <f t="shared" si="75"/>
        <v>30</v>
      </c>
      <c r="AN33" s="85"/>
      <c r="AO33" s="177"/>
      <c r="AP33" s="173"/>
      <c r="AQ33" s="88"/>
      <c r="AR33" s="91"/>
      <c r="AS33" s="319" t="s">
        <v>96</v>
      </c>
      <c r="AT33" s="80"/>
      <c r="AU33" s="92">
        <f t="shared" si="68"/>
        <v>0</v>
      </c>
      <c r="AV33" s="269"/>
      <c r="AW33" s="95">
        <f t="shared" si="76"/>
        <v>0</v>
      </c>
      <c r="AX33" s="96">
        <f t="shared" si="77"/>
        <v>0</v>
      </c>
      <c r="AY33" s="85"/>
      <c r="AZ33" s="177"/>
      <c r="BA33" s="173"/>
      <c r="BB33" s="88"/>
      <c r="BC33" s="91"/>
      <c r="BD33" s="319"/>
      <c r="BE33" s="80"/>
      <c r="BF33" s="92">
        <f t="shared" si="69"/>
        <v>0</v>
      </c>
      <c r="BG33" s="269"/>
      <c r="BH33" s="95">
        <f t="shared" si="78"/>
        <v>0</v>
      </c>
      <c r="BI33" s="96">
        <f t="shared" si="79"/>
        <v>0</v>
      </c>
      <c r="BJ33" s="85"/>
      <c r="BK33" s="177"/>
      <c r="BL33" s="173"/>
      <c r="BM33" s="88"/>
      <c r="BN33" s="91"/>
      <c r="BO33" s="319"/>
      <c r="BP33" s="80"/>
      <c r="BQ33" s="92">
        <f>BS33+BX33+BY33</f>
        <v>0</v>
      </c>
      <c r="BR33" s="269"/>
      <c r="BS33" s="324">
        <f t="shared" si="80"/>
        <v>0</v>
      </c>
      <c r="BT33" s="96">
        <f t="shared" si="81"/>
        <v>0</v>
      </c>
      <c r="BU33" s="85"/>
      <c r="BV33" s="177"/>
      <c r="BW33" s="173"/>
      <c r="BX33" s="88"/>
      <c r="BY33" s="91"/>
      <c r="BZ33" s="319"/>
      <c r="CA33" s="80"/>
      <c r="CB33" s="92">
        <f>CD33+CI33+CJ33</f>
        <v>0</v>
      </c>
      <c r="CC33" s="269"/>
      <c r="CD33" s="95">
        <f>CC33*$CN$12</f>
        <v>0</v>
      </c>
      <c r="CE33" s="96">
        <f t="shared" si="82"/>
        <v>0</v>
      </c>
      <c r="CF33" s="85"/>
      <c r="CG33" s="177"/>
      <c r="CH33" s="173"/>
      <c r="CI33" s="88"/>
      <c r="CJ33" s="91"/>
      <c r="CK33" s="319"/>
      <c r="CL33" s="139"/>
    </row>
    <row r="34" spans="1:91" ht="9.75" customHeight="1" x14ac:dyDescent="0.25">
      <c r="A34" s="101"/>
      <c r="B34" s="219"/>
      <c r="C34" s="24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271"/>
      <c r="P34" s="77"/>
      <c r="Q34" s="77"/>
      <c r="R34" s="82"/>
      <c r="S34" s="82"/>
      <c r="T34" s="82"/>
      <c r="U34" s="82"/>
      <c r="V34" s="82"/>
      <c r="W34" s="82"/>
      <c r="X34" s="82"/>
      <c r="Y34" s="77"/>
      <c r="Z34" s="271"/>
      <c r="AA34" s="77"/>
      <c r="AB34" s="77"/>
      <c r="AC34" s="82"/>
      <c r="AD34" s="82"/>
      <c r="AE34" s="82"/>
      <c r="AF34" s="82"/>
      <c r="AG34" s="168"/>
      <c r="AH34" s="82"/>
      <c r="AI34" s="170"/>
      <c r="AJ34" s="134"/>
      <c r="AK34" s="271"/>
      <c r="AL34" s="77"/>
      <c r="AM34" s="77"/>
      <c r="AN34" s="82"/>
      <c r="AO34" s="82"/>
      <c r="AP34" s="82"/>
      <c r="AQ34" s="82"/>
      <c r="AR34" s="82"/>
      <c r="AS34" s="82"/>
      <c r="AT34" s="82"/>
      <c r="AU34" s="77"/>
      <c r="AV34" s="271"/>
      <c r="AW34" s="77"/>
      <c r="AX34" s="77"/>
      <c r="AY34" s="82"/>
      <c r="AZ34" s="82"/>
      <c r="BA34" s="82"/>
      <c r="BB34" s="82"/>
      <c r="BC34" s="82"/>
      <c r="BD34" s="82"/>
      <c r="BE34" s="82"/>
      <c r="BF34" s="77"/>
      <c r="BG34" s="271"/>
      <c r="BH34" s="77"/>
      <c r="BI34" s="77"/>
      <c r="BJ34" s="82"/>
      <c r="BK34" s="82"/>
      <c r="BL34" s="82"/>
      <c r="BM34" s="82"/>
      <c r="BN34" s="82"/>
      <c r="BO34" s="82"/>
      <c r="BP34" s="82"/>
      <c r="BQ34" s="77"/>
      <c r="BR34" s="271"/>
      <c r="BS34" s="293"/>
      <c r="BT34" s="77"/>
      <c r="BU34" s="82"/>
      <c r="BV34" s="82"/>
      <c r="BW34" s="82"/>
      <c r="BX34" s="82"/>
      <c r="BY34" s="82"/>
      <c r="BZ34" s="82"/>
      <c r="CA34" s="82"/>
      <c r="CB34" s="77"/>
      <c r="CC34" s="271"/>
      <c r="CD34" s="77"/>
      <c r="CE34" s="77"/>
      <c r="CF34" s="82"/>
      <c r="CG34" s="82"/>
      <c r="CH34" s="82"/>
      <c r="CI34" s="82"/>
      <c r="CJ34" s="82"/>
      <c r="CK34" s="82"/>
      <c r="CL34" s="139"/>
    </row>
    <row r="35" spans="1:91" ht="29.25" customHeight="1" x14ac:dyDescent="0.25">
      <c r="A35" s="110" t="s">
        <v>73</v>
      </c>
      <c r="B35" s="216" t="s">
        <v>17</v>
      </c>
      <c r="C35" s="237" t="s">
        <v>74</v>
      </c>
      <c r="D35" s="188">
        <f>N35+Y35+AJ35+AU35+BF35+BQ35+CB35</f>
        <v>164</v>
      </c>
      <c r="E35" s="112"/>
      <c r="F35" s="112">
        <f>P35+AA35+AL35+AW35+BH35+BS35+CD35</f>
        <v>152</v>
      </c>
      <c r="G35" s="112">
        <f>Q35+AB35+AM35+AX35+BI35+BT35+CE35</f>
        <v>152</v>
      </c>
      <c r="H35" s="112">
        <f>S35+AD35+AO35+AZ35+BK35+BV35+CG35</f>
        <v>0</v>
      </c>
      <c r="I35" s="112">
        <f>R35+AC35+AN35+AY35+BJ35+BU35+CF35</f>
        <v>0</v>
      </c>
      <c r="J35" s="112">
        <f>T35+AE35+AP35+BA35+BL35+BW35+CH35</f>
        <v>0</v>
      </c>
      <c r="K35" s="112">
        <f>U35+AF35+AQ35+BB35+BM35+BX35+CI35</f>
        <v>2</v>
      </c>
      <c r="L35" s="112">
        <f>V35+AG35+AR35+BC35+BN35+BY35+CJ35</f>
        <v>10</v>
      </c>
      <c r="M35" s="79"/>
      <c r="N35" s="112">
        <f>SUM(N36:N38)</f>
        <v>0</v>
      </c>
      <c r="O35" s="267">
        <f t="shared" ref="O35:V35" si="84">SUM(O36:O38)</f>
        <v>0</v>
      </c>
      <c r="P35" s="112">
        <f t="shared" si="84"/>
        <v>0</v>
      </c>
      <c r="Q35" s="112">
        <f t="shared" si="84"/>
        <v>0</v>
      </c>
      <c r="R35" s="112">
        <f t="shared" si="84"/>
        <v>0</v>
      </c>
      <c r="S35" s="112">
        <f t="shared" si="84"/>
        <v>0</v>
      </c>
      <c r="T35" s="112">
        <f t="shared" si="84"/>
        <v>0</v>
      </c>
      <c r="U35" s="112">
        <f t="shared" si="84"/>
        <v>0</v>
      </c>
      <c r="V35" s="112">
        <f t="shared" si="84"/>
        <v>0</v>
      </c>
      <c r="W35" s="112"/>
      <c r="X35" s="79"/>
      <c r="Y35" s="112">
        <f>SUM(Y36:Y38)</f>
        <v>0</v>
      </c>
      <c r="Z35" s="267">
        <f t="shared" ref="Z35:AG35" si="85">SUM(Z36:Z38)</f>
        <v>0</v>
      </c>
      <c r="AA35" s="112">
        <f t="shared" si="85"/>
        <v>0</v>
      </c>
      <c r="AB35" s="112">
        <f t="shared" si="85"/>
        <v>0</v>
      </c>
      <c r="AC35" s="112">
        <f t="shared" si="85"/>
        <v>0</v>
      </c>
      <c r="AD35" s="112">
        <f t="shared" si="85"/>
        <v>0</v>
      </c>
      <c r="AE35" s="112">
        <f t="shared" si="85"/>
        <v>0</v>
      </c>
      <c r="AF35" s="112">
        <f t="shared" si="85"/>
        <v>0</v>
      </c>
      <c r="AG35" s="112">
        <f t="shared" si="85"/>
        <v>0</v>
      </c>
      <c r="AH35" s="112"/>
      <c r="AI35" s="102"/>
      <c r="AJ35" s="112">
        <f>SUM(AJ36:AJ38)</f>
        <v>84</v>
      </c>
      <c r="AK35" s="267">
        <f t="shared" ref="AK35:AR35" si="86">SUM(AK36:AK38)</f>
        <v>4.8</v>
      </c>
      <c r="AL35" s="112">
        <f t="shared" si="86"/>
        <v>72</v>
      </c>
      <c r="AM35" s="112">
        <f t="shared" si="86"/>
        <v>72</v>
      </c>
      <c r="AN35" s="112">
        <f t="shared" si="86"/>
        <v>0</v>
      </c>
      <c r="AO35" s="112">
        <f t="shared" si="86"/>
        <v>0</v>
      </c>
      <c r="AP35" s="112">
        <f t="shared" si="86"/>
        <v>0</v>
      </c>
      <c r="AQ35" s="112">
        <f t="shared" si="86"/>
        <v>2</v>
      </c>
      <c r="AR35" s="112">
        <f t="shared" si="86"/>
        <v>10</v>
      </c>
      <c r="AS35" s="112"/>
      <c r="AT35" s="77"/>
      <c r="AU35" s="112">
        <f>SUM(AU36:AU38)</f>
        <v>80</v>
      </c>
      <c r="AV35" s="267">
        <f t="shared" ref="AV35:BC35" si="87">SUM(AV36:AV38)</f>
        <v>4</v>
      </c>
      <c r="AW35" s="267">
        <f t="shared" si="87"/>
        <v>80</v>
      </c>
      <c r="AX35" s="267">
        <f t="shared" si="87"/>
        <v>80</v>
      </c>
      <c r="AY35" s="267">
        <f t="shared" si="87"/>
        <v>0</v>
      </c>
      <c r="AZ35" s="112">
        <f t="shared" si="87"/>
        <v>0</v>
      </c>
      <c r="BA35" s="112">
        <f t="shared" si="87"/>
        <v>0</v>
      </c>
      <c r="BB35" s="112">
        <f t="shared" si="87"/>
        <v>0</v>
      </c>
      <c r="BC35" s="112">
        <f t="shared" si="87"/>
        <v>0</v>
      </c>
      <c r="BD35" s="112"/>
      <c r="BE35" s="77"/>
      <c r="BF35" s="112">
        <f>SUM(BF36:BF38)</f>
        <v>0</v>
      </c>
      <c r="BG35" s="267">
        <f t="shared" ref="BG35:BN35" si="88">SUM(BG36:BG38)</f>
        <v>0</v>
      </c>
      <c r="BH35" s="112">
        <f t="shared" si="88"/>
        <v>0</v>
      </c>
      <c r="BI35" s="112">
        <f t="shared" si="88"/>
        <v>0</v>
      </c>
      <c r="BJ35" s="112">
        <f t="shared" si="88"/>
        <v>0</v>
      </c>
      <c r="BK35" s="112">
        <f t="shared" si="88"/>
        <v>0</v>
      </c>
      <c r="BL35" s="112">
        <f t="shared" si="88"/>
        <v>0</v>
      </c>
      <c r="BM35" s="112">
        <f t="shared" si="88"/>
        <v>0</v>
      </c>
      <c r="BN35" s="112">
        <f t="shared" si="88"/>
        <v>0</v>
      </c>
      <c r="BO35" s="112"/>
      <c r="BP35" s="79"/>
      <c r="BQ35" s="112">
        <f>SUM(BQ36:BQ38)</f>
        <v>0</v>
      </c>
      <c r="BR35" s="267">
        <f t="shared" ref="BR35:BY35" si="89">SUM(BR36:BR38)</f>
        <v>0</v>
      </c>
      <c r="BS35" s="267">
        <f t="shared" si="89"/>
        <v>0</v>
      </c>
      <c r="BT35" s="112">
        <f t="shared" si="89"/>
        <v>0</v>
      </c>
      <c r="BU35" s="112">
        <f t="shared" si="89"/>
        <v>0</v>
      </c>
      <c r="BV35" s="112">
        <f t="shared" si="89"/>
        <v>0</v>
      </c>
      <c r="BW35" s="112">
        <f t="shared" si="89"/>
        <v>0</v>
      </c>
      <c r="BX35" s="112">
        <f t="shared" si="89"/>
        <v>0</v>
      </c>
      <c r="BY35" s="112">
        <f t="shared" si="89"/>
        <v>0</v>
      </c>
      <c r="BZ35" s="112"/>
      <c r="CA35" s="79"/>
      <c r="CB35" s="112">
        <f>SUM(CB36:CB38)</f>
        <v>0</v>
      </c>
      <c r="CC35" s="267">
        <f t="shared" ref="CC35:CJ35" si="90">SUM(CC36:CC38)</f>
        <v>0</v>
      </c>
      <c r="CD35" s="112">
        <f t="shared" si="90"/>
        <v>0</v>
      </c>
      <c r="CE35" s="112">
        <f t="shared" si="90"/>
        <v>0</v>
      </c>
      <c r="CF35" s="112">
        <f t="shared" si="90"/>
        <v>0</v>
      </c>
      <c r="CG35" s="112">
        <f t="shared" si="90"/>
        <v>0</v>
      </c>
      <c r="CH35" s="112">
        <f t="shared" si="90"/>
        <v>0</v>
      </c>
      <c r="CI35" s="112">
        <f t="shared" si="90"/>
        <v>0</v>
      </c>
      <c r="CJ35" s="112">
        <f t="shared" si="90"/>
        <v>0</v>
      </c>
      <c r="CK35" s="112"/>
      <c r="CL35" s="131"/>
      <c r="CM35" s="14">
        <v>144</v>
      </c>
    </row>
    <row r="36" spans="1:91" ht="18.75" customHeight="1" x14ac:dyDescent="0.25">
      <c r="A36" s="6" t="s">
        <v>75</v>
      </c>
      <c r="B36" s="217" t="s">
        <v>18</v>
      </c>
      <c r="C36" s="238" t="s">
        <v>82</v>
      </c>
      <c r="D36" s="41">
        <f>N36+Y36+AJ36+AU36+BF36+BQ36+CB36</f>
        <v>84</v>
      </c>
      <c r="E36" s="49"/>
      <c r="F36" s="49">
        <f>P36+AA36+AL36+AW36+BH36+BS36+CD36</f>
        <v>72</v>
      </c>
      <c r="G36" s="49">
        <f>Q36+AB36+AM36+AX36+BI36+BT36+CE36</f>
        <v>72</v>
      </c>
      <c r="H36" s="49">
        <f>S36+AD36+AO36+AZ36+BK36+BV36+CG36</f>
        <v>0</v>
      </c>
      <c r="I36" s="49">
        <f>R36+AC36+AN36+AY36+BJ36+BU36+CF36</f>
        <v>0</v>
      </c>
      <c r="J36" s="49">
        <f>T36+AE36+AP36+BA36+BL36+BW36+CH36</f>
        <v>0</v>
      </c>
      <c r="K36" s="49">
        <f>U36+AF36+AQ36+BB36+BM36+BX36+CI36</f>
        <v>2</v>
      </c>
      <c r="L36" s="49">
        <f>V36+AG36+AR36+BC36+BN36+BY36+CJ36</f>
        <v>10</v>
      </c>
      <c r="M36" s="78"/>
      <c r="N36" s="92">
        <f>P36+U36+V36</f>
        <v>0</v>
      </c>
      <c r="O36" s="268"/>
      <c r="P36" s="95">
        <f>O36*$CN$9</f>
        <v>0</v>
      </c>
      <c r="Q36" s="96">
        <f>P36-R36</f>
        <v>0</v>
      </c>
      <c r="R36" s="84"/>
      <c r="S36" s="176"/>
      <c r="T36" s="172"/>
      <c r="U36" s="87"/>
      <c r="V36" s="90"/>
      <c r="W36" s="182"/>
      <c r="X36" s="78"/>
      <c r="Y36" s="92">
        <f>AA36+AF36+AG36</f>
        <v>0</v>
      </c>
      <c r="Z36" s="268"/>
      <c r="AA36" s="95">
        <f>Z36*$CN$9</f>
        <v>0</v>
      </c>
      <c r="AB36" s="96">
        <f>AA36-AC36</f>
        <v>0</v>
      </c>
      <c r="AC36" s="84"/>
      <c r="AD36" s="176"/>
      <c r="AE36" s="172"/>
      <c r="AF36" s="87"/>
      <c r="AG36" s="90"/>
      <c r="AH36" s="182"/>
      <c r="AI36" s="78"/>
      <c r="AJ36" s="92">
        <f>AL36+AQ36+AR36</f>
        <v>84</v>
      </c>
      <c r="AK36" s="268">
        <f>AL36/15</f>
        <v>4.8</v>
      </c>
      <c r="AL36" s="95">
        <v>72</v>
      </c>
      <c r="AM36" s="96">
        <f>AL36-AN36</f>
        <v>72</v>
      </c>
      <c r="AN36" s="84"/>
      <c r="AO36" s="176"/>
      <c r="AP36" s="172"/>
      <c r="AQ36" s="87">
        <v>2</v>
      </c>
      <c r="AR36" s="90">
        <v>10</v>
      </c>
      <c r="AS36" s="182" t="s">
        <v>82</v>
      </c>
      <c r="AT36" s="78"/>
      <c r="AU36" s="92">
        <f>AW36+BB36+BC36</f>
        <v>0</v>
      </c>
      <c r="AV36" s="268"/>
      <c r="AW36" s="95">
        <f>AV36*$CN$9</f>
        <v>0</v>
      </c>
      <c r="AX36" s="96">
        <f>AW36-AY36</f>
        <v>0</v>
      </c>
      <c r="AY36" s="84"/>
      <c r="AZ36" s="176"/>
      <c r="BA36" s="172"/>
      <c r="BB36" s="87"/>
      <c r="BC36" s="90"/>
      <c r="BD36" s="182"/>
      <c r="BE36" s="78"/>
      <c r="BF36" s="92">
        <f>BH36+BM36+BN36</f>
        <v>0</v>
      </c>
      <c r="BG36" s="268"/>
      <c r="BH36" s="95">
        <f>BG36*$CN$10</f>
        <v>0</v>
      </c>
      <c r="BI36" s="96">
        <f>BH36-BJ36</f>
        <v>0</v>
      </c>
      <c r="BJ36" s="84"/>
      <c r="BK36" s="176"/>
      <c r="BL36" s="172"/>
      <c r="BM36" s="87"/>
      <c r="BN36" s="90"/>
      <c r="BO36" s="182"/>
      <c r="BP36" s="78"/>
      <c r="BQ36" s="92">
        <f>BS36+BX36+BY36</f>
        <v>0</v>
      </c>
      <c r="BR36" s="268"/>
      <c r="BS36" s="324">
        <f>BR36*$CN$1</f>
        <v>0</v>
      </c>
      <c r="BT36" s="96">
        <f>BS36-BU36</f>
        <v>0</v>
      </c>
      <c r="BU36" s="84"/>
      <c r="BV36" s="176"/>
      <c r="BW36" s="172"/>
      <c r="BX36" s="87"/>
      <c r="BY36" s="90"/>
      <c r="BZ36" s="182"/>
      <c r="CA36" s="78"/>
      <c r="CB36" s="92">
        <f>CD36+CI36+CJ36</f>
        <v>0</v>
      </c>
      <c r="CC36" s="268"/>
      <c r="CD36" s="95">
        <f>CC36*$CN$12</f>
        <v>0</v>
      </c>
      <c r="CE36" s="96">
        <f>CD36-CF36</f>
        <v>0</v>
      </c>
      <c r="CF36" s="84"/>
      <c r="CG36" s="176"/>
      <c r="CH36" s="172"/>
      <c r="CI36" s="87"/>
      <c r="CJ36" s="90"/>
      <c r="CK36" s="182"/>
      <c r="CL36" s="139"/>
      <c r="CM36" s="14">
        <v>72</v>
      </c>
    </row>
    <row r="37" spans="1:91" ht="32.25" customHeight="1" x14ac:dyDescent="0.25">
      <c r="A37" s="6" t="s">
        <v>131</v>
      </c>
      <c r="B37" s="217" t="s">
        <v>107</v>
      </c>
      <c r="C37" s="238" t="s">
        <v>95</v>
      </c>
      <c r="D37" s="41">
        <f>N37+Y37+AJ37+AU37+BF37+BQ37+CB37</f>
        <v>40</v>
      </c>
      <c r="E37" s="49"/>
      <c r="F37" s="49">
        <f>P37+AA37+AL37+AW37+BH37+BS37+CD37</f>
        <v>40</v>
      </c>
      <c r="G37" s="49">
        <f>Q37+AB37+AM37+AX37+BI37+BT37+CE37</f>
        <v>40</v>
      </c>
      <c r="H37" s="49">
        <f>S37+AD37+AO37+AZ37+BK37+BV37+CG37</f>
        <v>0</v>
      </c>
      <c r="I37" s="49">
        <f>R37+AC37+AN37+AY37+BJ37+BU37+CF37</f>
        <v>0</v>
      </c>
      <c r="J37" s="49">
        <f>T37+AE37+AP37+BA37+BL37+BW37+CH37</f>
        <v>0</v>
      </c>
      <c r="K37" s="49">
        <f>U37+AF37+AQ37+BB37+BM37+BX37+CI37</f>
        <v>0</v>
      </c>
      <c r="L37" s="49">
        <f>V37+AG37+AR37+BC37+BN37+BY37+CJ37</f>
        <v>0</v>
      </c>
      <c r="M37" s="78"/>
      <c r="N37" s="92">
        <f>P37+U37+V37</f>
        <v>0</v>
      </c>
      <c r="O37" s="268"/>
      <c r="P37" s="95">
        <f t="shared" ref="P37:P38" si="91">O37*$CN$9</f>
        <v>0</v>
      </c>
      <c r="Q37" s="96">
        <f t="shared" ref="Q37:Q38" si="92">P37-R37</f>
        <v>0</v>
      </c>
      <c r="R37" s="84"/>
      <c r="S37" s="176"/>
      <c r="T37" s="172"/>
      <c r="U37" s="87"/>
      <c r="V37" s="90"/>
      <c r="W37" s="182"/>
      <c r="X37" s="78"/>
      <c r="Y37" s="92">
        <f>AA37+AF37+AG37</f>
        <v>0</v>
      </c>
      <c r="Z37" s="268"/>
      <c r="AA37" s="95">
        <f t="shared" ref="AA37:AA38" si="93">Z37*$CN$9</f>
        <v>0</v>
      </c>
      <c r="AB37" s="96">
        <f t="shared" ref="AB37:AB38" si="94">AA37-AC37</f>
        <v>0</v>
      </c>
      <c r="AC37" s="84"/>
      <c r="AD37" s="176"/>
      <c r="AE37" s="172"/>
      <c r="AF37" s="87"/>
      <c r="AG37" s="90"/>
      <c r="AH37" s="182"/>
      <c r="AI37" s="78"/>
      <c r="AJ37" s="92">
        <f>AL37+AQ37+AR37</f>
        <v>0</v>
      </c>
      <c r="AK37" s="268"/>
      <c r="AL37" s="95">
        <f>AK37*$CN$8</f>
        <v>0</v>
      </c>
      <c r="AM37" s="96">
        <f t="shared" ref="AM37:AM38" si="95">AL37-AN37</f>
        <v>0</v>
      </c>
      <c r="AN37" s="84"/>
      <c r="AO37" s="176"/>
      <c r="AP37" s="172"/>
      <c r="AQ37" s="87"/>
      <c r="AR37" s="90"/>
      <c r="AS37" s="182"/>
      <c r="AT37" s="78"/>
      <c r="AU37" s="92">
        <f>AW37+BB37+BC37</f>
        <v>40</v>
      </c>
      <c r="AV37" s="268">
        <v>2</v>
      </c>
      <c r="AW37" s="95">
        <f t="shared" ref="AW37:AW38" si="96">AV37*$CN$9</f>
        <v>40</v>
      </c>
      <c r="AX37" s="96">
        <f t="shared" ref="AX37:AX38" si="97">AW37-AY37</f>
        <v>40</v>
      </c>
      <c r="AY37" s="84"/>
      <c r="AZ37" s="176"/>
      <c r="BA37" s="172"/>
      <c r="BB37" s="87"/>
      <c r="BC37" s="90"/>
      <c r="BD37" s="182" t="s">
        <v>95</v>
      </c>
      <c r="BE37" s="78"/>
      <c r="BF37" s="92">
        <f>BH37+BM37+BN37</f>
        <v>0</v>
      </c>
      <c r="BG37" s="268"/>
      <c r="BH37" s="95">
        <f t="shared" ref="BH37:BH38" si="98">BG37*$CN$10</f>
        <v>0</v>
      </c>
      <c r="BI37" s="96">
        <f t="shared" ref="BI37:BI38" si="99">BH37-BJ37</f>
        <v>0</v>
      </c>
      <c r="BJ37" s="84"/>
      <c r="BK37" s="176"/>
      <c r="BL37" s="172"/>
      <c r="BM37" s="87"/>
      <c r="BN37" s="90"/>
      <c r="BO37" s="182"/>
      <c r="BP37" s="78"/>
      <c r="BQ37" s="92">
        <f>BS37+BX37+BY37</f>
        <v>0</v>
      </c>
      <c r="BR37" s="268"/>
      <c r="BS37" s="324">
        <f t="shared" ref="BS37:BS38" si="100">BR37*$CN$1</f>
        <v>0</v>
      </c>
      <c r="BT37" s="96">
        <f t="shared" ref="BT37:BT38" si="101">BS37-BU37</f>
        <v>0</v>
      </c>
      <c r="BU37" s="84"/>
      <c r="BV37" s="176"/>
      <c r="BW37" s="172"/>
      <c r="BX37" s="87"/>
      <c r="BY37" s="90"/>
      <c r="BZ37" s="182"/>
      <c r="CA37" s="78"/>
      <c r="CB37" s="92">
        <f>CD37+CI37+CJ37</f>
        <v>0</v>
      </c>
      <c r="CC37" s="268"/>
      <c r="CD37" s="95">
        <f t="shared" ref="CD37:CD38" si="102">CC37*$CN$12</f>
        <v>0</v>
      </c>
      <c r="CE37" s="96">
        <f t="shared" ref="CE37:CE38" si="103">CD37-CF37</f>
        <v>0</v>
      </c>
      <c r="CF37" s="84"/>
      <c r="CG37" s="176"/>
      <c r="CH37" s="172"/>
      <c r="CI37" s="87"/>
      <c r="CJ37" s="90"/>
      <c r="CK37" s="182"/>
      <c r="CL37" s="139"/>
      <c r="CM37" s="14">
        <v>36</v>
      </c>
    </row>
    <row r="38" spans="1:91" ht="33.75" customHeight="1" x14ac:dyDescent="0.25">
      <c r="A38" s="6" t="s">
        <v>77</v>
      </c>
      <c r="B38" s="217" t="s">
        <v>19</v>
      </c>
      <c r="C38" s="238" t="s">
        <v>95</v>
      </c>
      <c r="D38" s="41">
        <f>N38+Y38+AJ38+AU38+BF38+BQ38+CB38</f>
        <v>40</v>
      </c>
      <c r="E38" s="49"/>
      <c r="F38" s="49">
        <f>P38+AA38+AL38+AW38+BH38+BS38+CD38</f>
        <v>40</v>
      </c>
      <c r="G38" s="49">
        <f>Q38+AB38+AM38+AX38+BI38+BT38+CE38</f>
        <v>40</v>
      </c>
      <c r="H38" s="49">
        <f>S38+AD38+AO38+AZ38+BK38+BV38+CG38</f>
        <v>0</v>
      </c>
      <c r="I38" s="49">
        <f>R38+AC38+AN38+AY38+BJ38+BU38+CF38</f>
        <v>0</v>
      </c>
      <c r="J38" s="49">
        <f>T38+AE38+AP38+BA38+BL38+BW38+CH38</f>
        <v>0</v>
      </c>
      <c r="K38" s="49">
        <f>U38+AF38+AQ38+BB38+BM38+BX38+CI38</f>
        <v>0</v>
      </c>
      <c r="L38" s="49">
        <f>V38+AG38+AR38+BC38+BN38+BY38+CJ38</f>
        <v>0</v>
      </c>
      <c r="M38" s="78"/>
      <c r="N38" s="92">
        <f>P38+U38+V38</f>
        <v>0</v>
      </c>
      <c r="O38" s="268"/>
      <c r="P38" s="95">
        <f t="shared" si="91"/>
        <v>0</v>
      </c>
      <c r="Q38" s="96">
        <f t="shared" si="92"/>
        <v>0</v>
      </c>
      <c r="R38" s="84"/>
      <c r="S38" s="176"/>
      <c r="T38" s="172"/>
      <c r="U38" s="87"/>
      <c r="V38" s="90"/>
      <c r="W38" s="182"/>
      <c r="X38" s="78"/>
      <c r="Y38" s="92">
        <f>AA38+AF38+AG38</f>
        <v>0</v>
      </c>
      <c r="Z38" s="268"/>
      <c r="AA38" s="95">
        <f t="shared" si="93"/>
        <v>0</v>
      </c>
      <c r="AB38" s="96">
        <f t="shared" si="94"/>
        <v>0</v>
      </c>
      <c r="AC38" s="84"/>
      <c r="AD38" s="176"/>
      <c r="AE38" s="172"/>
      <c r="AF38" s="87"/>
      <c r="AG38" s="90"/>
      <c r="AH38" s="182"/>
      <c r="AI38" s="78"/>
      <c r="AJ38" s="92">
        <f>AL38+AQ38+AR38</f>
        <v>0</v>
      </c>
      <c r="AK38" s="268"/>
      <c r="AL38" s="95">
        <f>AK38*$CN$8</f>
        <v>0</v>
      </c>
      <c r="AM38" s="96">
        <f t="shared" si="95"/>
        <v>0</v>
      </c>
      <c r="AN38" s="84"/>
      <c r="AO38" s="176"/>
      <c r="AP38" s="172"/>
      <c r="AQ38" s="87"/>
      <c r="AR38" s="90"/>
      <c r="AS38" s="182"/>
      <c r="AT38" s="78"/>
      <c r="AU38" s="92">
        <f>AW38+BB38+BC38</f>
        <v>40</v>
      </c>
      <c r="AV38" s="268">
        <v>2</v>
      </c>
      <c r="AW38" s="95">
        <f t="shared" si="96"/>
        <v>40</v>
      </c>
      <c r="AX38" s="96">
        <f t="shared" si="97"/>
        <v>40</v>
      </c>
      <c r="AY38" s="84"/>
      <c r="AZ38" s="176"/>
      <c r="BA38" s="172"/>
      <c r="BB38" s="87"/>
      <c r="BC38" s="90"/>
      <c r="BD38" s="182" t="s">
        <v>95</v>
      </c>
      <c r="BE38" s="78"/>
      <c r="BF38" s="92">
        <f>BH38+BM38+BN38</f>
        <v>0</v>
      </c>
      <c r="BG38" s="268"/>
      <c r="BH38" s="95">
        <f t="shared" si="98"/>
        <v>0</v>
      </c>
      <c r="BI38" s="96">
        <f t="shared" si="99"/>
        <v>0</v>
      </c>
      <c r="BJ38" s="84"/>
      <c r="BK38" s="176"/>
      <c r="BL38" s="172"/>
      <c r="BM38" s="87"/>
      <c r="BN38" s="90"/>
      <c r="BO38" s="182"/>
      <c r="BP38" s="78"/>
      <c r="BQ38" s="92">
        <f>BS38+BX38+BY38</f>
        <v>0</v>
      </c>
      <c r="BR38" s="268"/>
      <c r="BS38" s="324">
        <f t="shared" si="100"/>
        <v>0</v>
      </c>
      <c r="BT38" s="96">
        <f t="shared" si="101"/>
        <v>0</v>
      </c>
      <c r="BU38" s="84"/>
      <c r="BV38" s="176"/>
      <c r="BW38" s="172"/>
      <c r="BX38" s="87"/>
      <c r="BY38" s="90"/>
      <c r="BZ38" s="182"/>
      <c r="CA38" s="78"/>
      <c r="CB38" s="92">
        <f>CD38+CI38+CJ38</f>
        <v>0</v>
      </c>
      <c r="CC38" s="268"/>
      <c r="CD38" s="95">
        <f t="shared" si="102"/>
        <v>0</v>
      </c>
      <c r="CE38" s="96">
        <f t="shared" si="103"/>
        <v>0</v>
      </c>
      <c r="CF38" s="84"/>
      <c r="CG38" s="176"/>
      <c r="CH38" s="172"/>
      <c r="CI38" s="87"/>
      <c r="CJ38" s="90"/>
      <c r="CK38" s="182"/>
      <c r="CL38" s="139"/>
      <c r="CM38" s="14">
        <v>36</v>
      </c>
    </row>
    <row r="39" spans="1:91" ht="6.75" customHeight="1" x14ac:dyDescent="0.25">
      <c r="A39" s="100"/>
      <c r="B39" s="220"/>
      <c r="C39" s="243"/>
      <c r="D39" s="99"/>
      <c r="E39" s="99"/>
      <c r="F39" s="99"/>
      <c r="G39" s="99"/>
      <c r="H39" s="99"/>
      <c r="I39" s="99"/>
      <c r="J39" s="99"/>
      <c r="K39" s="99"/>
      <c r="L39" s="99"/>
      <c r="M39" s="79"/>
      <c r="N39" s="77"/>
      <c r="O39" s="272"/>
      <c r="P39" s="77"/>
      <c r="Q39" s="77"/>
      <c r="R39" s="79"/>
      <c r="S39" s="79"/>
      <c r="T39" s="79"/>
      <c r="U39" s="79"/>
      <c r="V39" s="79"/>
      <c r="W39" s="79"/>
      <c r="X39" s="79"/>
      <c r="Y39" s="77"/>
      <c r="Z39" s="272"/>
      <c r="AA39" s="77"/>
      <c r="AB39" s="77"/>
      <c r="AC39" s="79"/>
      <c r="AD39" s="79"/>
      <c r="AE39" s="79"/>
      <c r="AF39" s="79"/>
      <c r="AG39" s="79"/>
      <c r="AH39" s="79"/>
      <c r="AI39" s="79"/>
      <c r="AJ39" s="77"/>
      <c r="AK39" s="272"/>
      <c r="AL39" s="77"/>
      <c r="AM39" s="77"/>
      <c r="AN39" s="79"/>
      <c r="AO39" s="79"/>
      <c r="AP39" s="79"/>
      <c r="AQ39" s="79"/>
      <c r="AR39" s="79"/>
      <c r="AS39" s="79"/>
      <c r="AT39" s="79"/>
      <c r="AU39" s="77"/>
      <c r="AV39" s="272"/>
      <c r="AW39" s="77"/>
      <c r="AX39" s="77"/>
      <c r="AY39" s="79"/>
      <c r="AZ39" s="79"/>
      <c r="BA39" s="79"/>
      <c r="BB39" s="79"/>
      <c r="BC39" s="79"/>
      <c r="BD39" s="79"/>
      <c r="BE39" s="79"/>
      <c r="BF39" s="77"/>
      <c r="BG39" s="272"/>
      <c r="BH39" s="77"/>
      <c r="BI39" s="77"/>
      <c r="BJ39" s="79"/>
      <c r="BK39" s="79"/>
      <c r="BL39" s="79"/>
      <c r="BM39" s="79"/>
      <c r="BN39" s="79"/>
      <c r="BO39" s="79"/>
      <c r="BP39" s="79"/>
      <c r="BQ39" s="77"/>
      <c r="BR39" s="272"/>
      <c r="BS39" s="293"/>
      <c r="BT39" s="77"/>
      <c r="BU39" s="79"/>
      <c r="BV39" s="79"/>
      <c r="BW39" s="79"/>
      <c r="BX39" s="79"/>
      <c r="BY39" s="79"/>
      <c r="BZ39" s="79"/>
      <c r="CA39" s="79"/>
      <c r="CB39" s="77"/>
      <c r="CC39" s="272"/>
      <c r="CD39" s="77"/>
      <c r="CE39" s="77"/>
      <c r="CF39" s="79"/>
      <c r="CG39" s="79"/>
      <c r="CH39" s="79"/>
      <c r="CI39" s="79"/>
      <c r="CJ39" s="79"/>
      <c r="CK39" s="79"/>
      <c r="CL39" s="140"/>
    </row>
    <row r="40" spans="1:91" ht="30.75" customHeight="1" x14ac:dyDescent="0.25">
      <c r="A40" s="110" t="s">
        <v>79</v>
      </c>
      <c r="B40" s="216" t="s">
        <v>224</v>
      </c>
      <c r="C40" s="237" t="s">
        <v>80</v>
      </c>
      <c r="D40" s="188">
        <f>N40+Y40+AJ40+AU40+BF40+BQ40+CB40</f>
        <v>770</v>
      </c>
      <c r="E40" s="112"/>
      <c r="F40" s="112">
        <f>P40+AA40+AL40+AW40+BH40+BS40+CD40</f>
        <v>740</v>
      </c>
      <c r="G40" s="112">
        <f>Q40+AB40+AM40+AX40+BI40+BT40+CE40</f>
        <v>540</v>
      </c>
      <c r="H40" s="112">
        <f>S40+AD40+AO40+AZ40+BK40+BV40+CG40</f>
        <v>0</v>
      </c>
      <c r="I40" s="112">
        <f>R40+AC40+AN40+AY40+BJ40+BU40+CF40</f>
        <v>200</v>
      </c>
      <c r="J40" s="112">
        <f>T40+AE40+AP40+BA40+BL40+BW40+CH40</f>
        <v>0</v>
      </c>
      <c r="K40" s="112">
        <f>U40+AF40+AQ40+BB40+BM40+BX40+CI40</f>
        <v>10</v>
      </c>
      <c r="L40" s="112">
        <f>V40+AG40+AR40+BC40+BN40+BY40+CJ40</f>
        <v>20</v>
      </c>
      <c r="M40" s="79"/>
      <c r="N40" s="112">
        <f>SUM(N41:N53)</f>
        <v>0</v>
      </c>
      <c r="O40" s="267">
        <f t="shared" ref="O40:V40" si="104">SUM(O41:O53)</f>
        <v>0</v>
      </c>
      <c r="P40" s="112">
        <f t="shared" si="104"/>
        <v>0</v>
      </c>
      <c r="Q40" s="112">
        <f t="shared" si="104"/>
        <v>0</v>
      </c>
      <c r="R40" s="112">
        <f t="shared" si="104"/>
        <v>0</v>
      </c>
      <c r="S40" s="112">
        <f t="shared" si="104"/>
        <v>0</v>
      </c>
      <c r="T40" s="112">
        <f t="shared" si="104"/>
        <v>0</v>
      </c>
      <c r="U40" s="112">
        <f t="shared" si="104"/>
        <v>0</v>
      </c>
      <c r="V40" s="112">
        <f t="shared" si="104"/>
        <v>0</v>
      </c>
      <c r="W40" s="112"/>
      <c r="X40" s="79"/>
      <c r="Y40" s="112">
        <f>SUM(Y41:Y53)</f>
        <v>0</v>
      </c>
      <c r="Z40" s="267">
        <f t="shared" ref="Z40:AG40" si="105">SUM(Z41:Z53)</f>
        <v>0</v>
      </c>
      <c r="AA40" s="112">
        <f t="shared" si="105"/>
        <v>0</v>
      </c>
      <c r="AB40" s="112">
        <f t="shared" si="105"/>
        <v>0</v>
      </c>
      <c r="AC40" s="112">
        <f t="shared" si="105"/>
        <v>0</v>
      </c>
      <c r="AD40" s="112">
        <f t="shared" si="105"/>
        <v>0</v>
      </c>
      <c r="AE40" s="112">
        <f t="shared" si="105"/>
        <v>0</v>
      </c>
      <c r="AF40" s="112">
        <f t="shared" si="105"/>
        <v>0</v>
      </c>
      <c r="AG40" s="112">
        <f t="shared" si="105"/>
        <v>0</v>
      </c>
      <c r="AH40" s="112"/>
      <c r="AI40" s="79"/>
      <c r="AJ40" s="112">
        <f>SUM(AJ41:AJ53)</f>
        <v>172</v>
      </c>
      <c r="AK40" s="267">
        <f t="shared" ref="AK40:AR40" si="106">SUM(AK41:AK53)</f>
        <v>10.666666666666668</v>
      </c>
      <c r="AL40" s="112">
        <f t="shared" si="106"/>
        <v>160</v>
      </c>
      <c r="AM40" s="112">
        <f t="shared" si="106"/>
        <v>94</v>
      </c>
      <c r="AN40" s="112">
        <f t="shared" si="106"/>
        <v>66</v>
      </c>
      <c r="AO40" s="112">
        <f t="shared" si="106"/>
        <v>0</v>
      </c>
      <c r="AP40" s="112">
        <f t="shared" si="106"/>
        <v>0</v>
      </c>
      <c r="AQ40" s="112">
        <f t="shared" si="106"/>
        <v>4</v>
      </c>
      <c r="AR40" s="112">
        <f t="shared" si="106"/>
        <v>8</v>
      </c>
      <c r="AS40" s="112"/>
      <c r="AT40" s="77"/>
      <c r="AU40" s="112">
        <f>SUM(AU41:AU53)</f>
        <v>318</v>
      </c>
      <c r="AV40" s="267">
        <f t="shared" ref="AV40:BC40" si="107">SUM(AV41:AV53)</f>
        <v>15</v>
      </c>
      <c r="AW40" s="112">
        <f t="shared" si="107"/>
        <v>300</v>
      </c>
      <c r="AX40" s="112">
        <f t="shared" si="107"/>
        <v>180</v>
      </c>
      <c r="AY40" s="112">
        <f t="shared" si="107"/>
        <v>120</v>
      </c>
      <c r="AZ40" s="112">
        <f t="shared" si="107"/>
        <v>0</v>
      </c>
      <c r="BA40" s="112">
        <f t="shared" si="107"/>
        <v>0</v>
      </c>
      <c r="BB40" s="112">
        <f t="shared" si="107"/>
        <v>6</v>
      </c>
      <c r="BC40" s="112">
        <f t="shared" si="107"/>
        <v>12</v>
      </c>
      <c r="BD40" s="112"/>
      <c r="BE40" s="77"/>
      <c r="BF40" s="112">
        <f>SUM(BF41:BF53)</f>
        <v>0</v>
      </c>
      <c r="BG40" s="267">
        <f t="shared" ref="BG40:BN40" si="108">SUM(BG41:BG53)</f>
        <v>0</v>
      </c>
      <c r="BH40" s="112">
        <f t="shared" si="108"/>
        <v>0</v>
      </c>
      <c r="BI40" s="112">
        <f t="shared" si="108"/>
        <v>0</v>
      </c>
      <c r="BJ40" s="112">
        <f t="shared" si="108"/>
        <v>0</v>
      </c>
      <c r="BK40" s="112">
        <f t="shared" si="108"/>
        <v>0</v>
      </c>
      <c r="BL40" s="112">
        <f t="shared" si="108"/>
        <v>0</v>
      </c>
      <c r="BM40" s="112">
        <f t="shared" si="108"/>
        <v>0</v>
      </c>
      <c r="BN40" s="112">
        <f t="shared" si="108"/>
        <v>0</v>
      </c>
      <c r="BO40" s="112"/>
      <c r="BP40" s="79"/>
      <c r="BQ40" s="112">
        <f>SUM(BQ41:BQ53)</f>
        <v>208</v>
      </c>
      <c r="BR40" s="267">
        <f>SUM(BR41:BR53)</f>
        <v>11.555555555555557</v>
      </c>
      <c r="BS40" s="267">
        <f t="shared" ref="BS40:BY40" si="109">SUM(BS41:BS53)</f>
        <v>208</v>
      </c>
      <c r="BT40" s="112">
        <f t="shared" si="109"/>
        <v>208</v>
      </c>
      <c r="BU40" s="112">
        <f t="shared" si="109"/>
        <v>0</v>
      </c>
      <c r="BV40" s="112">
        <f t="shared" si="109"/>
        <v>0</v>
      </c>
      <c r="BW40" s="112">
        <f t="shared" si="109"/>
        <v>0</v>
      </c>
      <c r="BX40" s="112">
        <f t="shared" si="109"/>
        <v>0</v>
      </c>
      <c r="BY40" s="112">
        <f t="shared" si="109"/>
        <v>0</v>
      </c>
      <c r="BZ40" s="112"/>
      <c r="CA40" s="79"/>
      <c r="CB40" s="112">
        <f>SUM(CB41:CB53)</f>
        <v>72</v>
      </c>
      <c r="CC40" s="267">
        <f t="shared" ref="CC40:CJ40" si="110">SUM(CC41:CC53)</f>
        <v>4.23764705882353</v>
      </c>
      <c r="CD40" s="112">
        <f t="shared" si="110"/>
        <v>72</v>
      </c>
      <c r="CE40" s="112">
        <f t="shared" si="110"/>
        <v>58</v>
      </c>
      <c r="CF40" s="112">
        <f t="shared" si="110"/>
        <v>14</v>
      </c>
      <c r="CG40" s="112">
        <f t="shared" si="110"/>
        <v>0</v>
      </c>
      <c r="CH40" s="112">
        <f t="shared" si="110"/>
        <v>0</v>
      </c>
      <c r="CI40" s="112">
        <f t="shared" si="110"/>
        <v>0</v>
      </c>
      <c r="CJ40" s="112">
        <f t="shared" si="110"/>
        <v>0</v>
      </c>
      <c r="CK40" s="112"/>
      <c r="CL40" s="131"/>
      <c r="CM40" s="14">
        <v>612</v>
      </c>
    </row>
    <row r="41" spans="1:91" ht="18.75" customHeight="1" x14ac:dyDescent="0.25">
      <c r="A41" s="6" t="s">
        <v>81</v>
      </c>
      <c r="B41" s="217" t="s">
        <v>124</v>
      </c>
      <c r="C41" s="449" t="s">
        <v>369</v>
      </c>
      <c r="D41" s="41">
        <f>N41+Y41+AJ41+AU41+BF41+BQ41+CB41</f>
        <v>54</v>
      </c>
      <c r="E41" s="49"/>
      <c r="F41" s="49">
        <f>P41+AA41+AL41+AW41+BH41+BS41+CD41</f>
        <v>48</v>
      </c>
      <c r="G41" s="49">
        <f>Q41+AB41+AM41+AX41+BI41+BT41+CE41</f>
        <v>28</v>
      </c>
      <c r="H41" s="49">
        <f>S41+AD41+AO41+AZ41+BK41+BV41+CG41</f>
        <v>0</v>
      </c>
      <c r="I41" s="49">
        <f>R41+AC41+AN41+AY41+BJ41+BU41+CF41</f>
        <v>20</v>
      </c>
      <c r="J41" s="49">
        <f>T41+AE41+AP41+BA41+BL41+BW41+CH41</f>
        <v>0</v>
      </c>
      <c r="K41" s="49">
        <f>U41+AF41+AQ41+BB41+BM41+BX41+CI41</f>
        <v>2</v>
      </c>
      <c r="L41" s="49">
        <f>V41+AG41+AR41+BC41+BN41+BY41+CJ41</f>
        <v>4</v>
      </c>
      <c r="M41" s="78"/>
      <c r="N41" s="92">
        <f>P41+U41+V41</f>
        <v>0</v>
      </c>
      <c r="O41" s="268"/>
      <c r="P41" s="95">
        <f>O41*$CN$9</f>
        <v>0</v>
      </c>
      <c r="Q41" s="96">
        <f>P41-R41</f>
        <v>0</v>
      </c>
      <c r="R41" s="84"/>
      <c r="S41" s="176"/>
      <c r="T41" s="172"/>
      <c r="U41" s="87"/>
      <c r="V41" s="90"/>
      <c r="W41" s="182"/>
      <c r="X41" s="78"/>
      <c r="Y41" s="92">
        <f t="shared" ref="Y41:Y53" si="111">AA41+AF41+AG41</f>
        <v>0</v>
      </c>
      <c r="Z41" s="268"/>
      <c r="AA41" s="95">
        <f>Z41*$CN$9</f>
        <v>0</v>
      </c>
      <c r="AB41" s="96">
        <f>AA41-AC41</f>
        <v>0</v>
      </c>
      <c r="AC41" s="84"/>
      <c r="AD41" s="176"/>
      <c r="AE41" s="172"/>
      <c r="AF41" s="87"/>
      <c r="AG41" s="90"/>
      <c r="AH41" s="182"/>
      <c r="AI41" s="78"/>
      <c r="AJ41" s="92">
        <f t="shared" ref="AJ41:AJ53" si="112">AL41+AQ41+AR41</f>
        <v>54</v>
      </c>
      <c r="AK41" s="268">
        <f>AL41/15</f>
        <v>3.2</v>
      </c>
      <c r="AL41" s="95">
        <v>48</v>
      </c>
      <c r="AM41" s="96">
        <f>AL41-AN41</f>
        <v>28</v>
      </c>
      <c r="AN41" s="84">
        <v>20</v>
      </c>
      <c r="AO41" s="176"/>
      <c r="AP41" s="172"/>
      <c r="AQ41" s="87">
        <v>2</v>
      </c>
      <c r="AR41" s="90">
        <v>4</v>
      </c>
      <c r="AS41" s="451" t="s">
        <v>82</v>
      </c>
      <c r="AT41" s="78"/>
      <c r="AU41" s="92">
        <f t="shared" ref="AU41:AU53" si="113">AW41+BB41+BC41</f>
        <v>0</v>
      </c>
      <c r="AV41" s="268"/>
      <c r="AW41" s="95">
        <f>AV41*$CN$9</f>
        <v>0</v>
      </c>
      <c r="AX41" s="96">
        <f>AW41-AY41</f>
        <v>0</v>
      </c>
      <c r="AY41" s="84"/>
      <c r="AZ41" s="176"/>
      <c r="BA41" s="172"/>
      <c r="BB41" s="87"/>
      <c r="BC41" s="90"/>
      <c r="BD41" s="182"/>
      <c r="BE41" s="78"/>
      <c r="BF41" s="92">
        <f t="shared" ref="BF41:BF53" si="114">BH41+BM41+BN41</f>
        <v>0</v>
      </c>
      <c r="BG41" s="268"/>
      <c r="BH41" s="95">
        <f>BG41*$CN$10</f>
        <v>0</v>
      </c>
      <c r="BI41" s="96">
        <f>BH41-BJ41</f>
        <v>0</v>
      </c>
      <c r="BJ41" s="84"/>
      <c r="BK41" s="176"/>
      <c r="BL41" s="172"/>
      <c r="BM41" s="87"/>
      <c r="BN41" s="90"/>
      <c r="BO41" s="182"/>
      <c r="BP41" s="78"/>
      <c r="BQ41" s="92">
        <f t="shared" ref="BQ41:BQ53" si="115">BS41+BX41+BY41</f>
        <v>0</v>
      </c>
      <c r="BR41" s="268"/>
      <c r="BS41" s="324">
        <f t="shared" ref="BS41:BS44" si="116">BR41*$CN$11</f>
        <v>0</v>
      </c>
      <c r="BT41" s="96">
        <f>BS41-BU41</f>
        <v>0</v>
      </c>
      <c r="BU41" s="84"/>
      <c r="BV41" s="176"/>
      <c r="BW41" s="172"/>
      <c r="BX41" s="87"/>
      <c r="BY41" s="90"/>
      <c r="BZ41" s="182"/>
      <c r="CA41" s="78"/>
      <c r="CB41" s="92">
        <f>CD41+CI41+CJ41</f>
        <v>0</v>
      </c>
      <c r="CC41" s="268"/>
      <c r="CD41" s="95">
        <f>CC41*$CN$12</f>
        <v>0</v>
      </c>
      <c r="CE41" s="96">
        <f>CD41-CF41</f>
        <v>0</v>
      </c>
      <c r="CF41" s="84"/>
      <c r="CG41" s="176"/>
      <c r="CH41" s="172"/>
      <c r="CI41" s="87"/>
      <c r="CJ41" s="90"/>
      <c r="CK41" s="182"/>
      <c r="CL41" s="139"/>
      <c r="CM41" s="14">
        <v>48</v>
      </c>
    </row>
    <row r="42" spans="1:91" ht="18.75" customHeight="1" x14ac:dyDescent="0.25">
      <c r="A42" s="6" t="s">
        <v>83</v>
      </c>
      <c r="B42" s="217" t="s">
        <v>125</v>
      </c>
      <c r="C42" s="450"/>
      <c r="D42" s="41">
        <f>N42+Y42+AJ42+AU42+BF42+BQ42+CB42</f>
        <v>43</v>
      </c>
      <c r="E42" s="49"/>
      <c r="F42" s="49">
        <f>P42+AA42+AL42+AW42+BH42+BS42+CD42</f>
        <v>37</v>
      </c>
      <c r="G42" s="49">
        <f>Q42+AB42+AM42+AX42+BI42+BT42+CE42</f>
        <v>21</v>
      </c>
      <c r="H42" s="49">
        <f>S42+AD42+AO42+AZ42+BK42+BV42+CG42</f>
        <v>0</v>
      </c>
      <c r="I42" s="49">
        <f>R42+AC42+AN42+AY42+BJ42+BU42+CF42</f>
        <v>16</v>
      </c>
      <c r="J42" s="49">
        <f>T42+AE42+AP42+BA42+BL42+BW42+CH42</f>
        <v>0</v>
      </c>
      <c r="K42" s="49">
        <f>U42+AF42+AQ42+BB42+BM42+BX42+CI42</f>
        <v>2</v>
      </c>
      <c r="L42" s="49">
        <f>V42+AG42+AR42+BC42+BN42+BY42+CJ42</f>
        <v>4</v>
      </c>
      <c r="M42" s="78"/>
      <c r="N42" s="92">
        <f>P42+U42+V42</f>
        <v>0</v>
      </c>
      <c r="O42" s="268"/>
      <c r="P42" s="95">
        <f t="shared" ref="P42:P53" si="117">O42*$CN$9</f>
        <v>0</v>
      </c>
      <c r="Q42" s="96">
        <f t="shared" ref="Q42:Q53" si="118">P42-R42</f>
        <v>0</v>
      </c>
      <c r="R42" s="84"/>
      <c r="S42" s="176"/>
      <c r="T42" s="172"/>
      <c r="U42" s="87"/>
      <c r="V42" s="90"/>
      <c r="W42" s="182"/>
      <c r="X42" s="78"/>
      <c r="Y42" s="92">
        <f t="shared" si="111"/>
        <v>0</v>
      </c>
      <c r="Z42" s="268"/>
      <c r="AA42" s="95">
        <f t="shared" ref="AA42:AA53" si="119">Z42*$CN$9</f>
        <v>0</v>
      </c>
      <c r="AB42" s="96">
        <f t="shared" ref="AB42:AB53" si="120">AA42-AC42</f>
        <v>0</v>
      </c>
      <c r="AC42" s="84"/>
      <c r="AD42" s="176"/>
      <c r="AE42" s="172"/>
      <c r="AF42" s="87"/>
      <c r="AG42" s="90"/>
      <c r="AH42" s="182"/>
      <c r="AI42" s="78"/>
      <c r="AJ42" s="92">
        <f t="shared" si="112"/>
        <v>43</v>
      </c>
      <c r="AK42" s="268">
        <f>AL42/15</f>
        <v>2.4666666666666668</v>
      </c>
      <c r="AL42" s="95">
        <v>37</v>
      </c>
      <c r="AM42" s="96">
        <f t="shared" ref="AM42:AM53" si="121">AL42-AN42</f>
        <v>21</v>
      </c>
      <c r="AN42" s="84">
        <v>16</v>
      </c>
      <c r="AO42" s="176"/>
      <c r="AP42" s="172"/>
      <c r="AQ42" s="87">
        <v>2</v>
      </c>
      <c r="AR42" s="90">
        <v>4</v>
      </c>
      <c r="AS42" s="452"/>
      <c r="AT42" s="78"/>
      <c r="AU42" s="92">
        <f t="shared" si="113"/>
        <v>0</v>
      </c>
      <c r="AV42" s="268"/>
      <c r="AW42" s="95">
        <f t="shared" ref="AW42:AW53" si="122">AV42*$CN$9</f>
        <v>0</v>
      </c>
      <c r="AX42" s="96">
        <f t="shared" ref="AX42:AX53" si="123">AW42-AY42</f>
        <v>0</v>
      </c>
      <c r="AY42" s="84"/>
      <c r="AZ42" s="176"/>
      <c r="BA42" s="172"/>
      <c r="BB42" s="87"/>
      <c r="BC42" s="90"/>
      <c r="BD42" s="182"/>
      <c r="BE42" s="78"/>
      <c r="BF42" s="92">
        <f t="shared" si="114"/>
        <v>0</v>
      </c>
      <c r="BG42" s="268"/>
      <c r="BH42" s="95">
        <f t="shared" ref="BH42:BH53" si="124">BG42*$CN$10</f>
        <v>0</v>
      </c>
      <c r="BI42" s="96">
        <f t="shared" ref="BI42:BI53" si="125">BH42-BJ42</f>
        <v>0</v>
      </c>
      <c r="BJ42" s="84"/>
      <c r="BK42" s="176"/>
      <c r="BL42" s="172"/>
      <c r="BM42" s="87"/>
      <c r="BN42" s="90"/>
      <c r="BO42" s="182"/>
      <c r="BP42" s="78"/>
      <c r="BQ42" s="92">
        <f t="shared" si="115"/>
        <v>0</v>
      </c>
      <c r="BR42" s="268"/>
      <c r="BS42" s="324">
        <f t="shared" si="116"/>
        <v>0</v>
      </c>
      <c r="BT42" s="96">
        <f t="shared" ref="BT42:BT53" si="126">BS42-BU42</f>
        <v>0</v>
      </c>
      <c r="BU42" s="84"/>
      <c r="BV42" s="176"/>
      <c r="BW42" s="172"/>
      <c r="BX42" s="87"/>
      <c r="BY42" s="90"/>
      <c r="BZ42" s="182"/>
      <c r="CA42" s="78"/>
      <c r="CB42" s="92">
        <f>CD42+CI42+CJ42</f>
        <v>0</v>
      </c>
      <c r="CC42" s="268"/>
      <c r="CD42" s="95">
        <f t="shared" ref="CD42:CD44" si="127">CC42*$CN$12</f>
        <v>0</v>
      </c>
      <c r="CE42" s="96">
        <f t="shared" ref="CE42:CE53" si="128">CD42-CF42</f>
        <v>0</v>
      </c>
      <c r="CF42" s="84"/>
      <c r="CG42" s="176"/>
      <c r="CH42" s="172"/>
      <c r="CI42" s="87"/>
      <c r="CJ42" s="90"/>
      <c r="CK42" s="182"/>
      <c r="CL42" s="139"/>
      <c r="CM42" s="14">
        <v>36</v>
      </c>
    </row>
    <row r="43" spans="1:91" ht="16.5" customHeight="1" x14ac:dyDescent="0.25">
      <c r="A43" s="6" t="s">
        <v>84</v>
      </c>
      <c r="B43" s="217" t="s">
        <v>104</v>
      </c>
      <c r="C43" s="238" t="s">
        <v>95</v>
      </c>
      <c r="D43" s="41">
        <f>N43+Y43+AJ43+AU43+BF43+BQ43+CB43</f>
        <v>40</v>
      </c>
      <c r="E43" s="49"/>
      <c r="F43" s="49">
        <f>P43+AA43+AL43+AW43+BH43+BS43+CD43</f>
        <v>40</v>
      </c>
      <c r="G43" s="49">
        <f>Q43+AB43+AM43+AX43+BI43+BT43+CE43</f>
        <v>20</v>
      </c>
      <c r="H43" s="49">
        <f>S43+AD43+AO43+AZ43+BK43+BV43+CG43</f>
        <v>0</v>
      </c>
      <c r="I43" s="49">
        <f>R43+AC43+AN43+AY43+BJ43+BU43+CF43</f>
        <v>20</v>
      </c>
      <c r="J43" s="49">
        <f>T43+AE43+AP43+BA43+BL43+BW43+CH43</f>
        <v>0</v>
      </c>
      <c r="K43" s="49">
        <f>U43+AF43+AQ43+BB43+BM43+BX43+CI43</f>
        <v>0</v>
      </c>
      <c r="L43" s="49">
        <f>V43+AG43+AR43+BC43+BN43+BY43+CJ43</f>
        <v>0</v>
      </c>
      <c r="M43" s="78"/>
      <c r="N43" s="92">
        <f>P43+U43+V43</f>
        <v>0</v>
      </c>
      <c r="O43" s="268"/>
      <c r="P43" s="95">
        <f t="shared" si="117"/>
        <v>0</v>
      </c>
      <c r="Q43" s="96">
        <f t="shared" si="118"/>
        <v>0</v>
      </c>
      <c r="R43" s="84"/>
      <c r="S43" s="176"/>
      <c r="T43" s="172"/>
      <c r="U43" s="87"/>
      <c r="V43" s="90"/>
      <c r="W43" s="182"/>
      <c r="X43" s="78"/>
      <c r="Y43" s="92">
        <f t="shared" si="111"/>
        <v>0</v>
      </c>
      <c r="Z43" s="268"/>
      <c r="AA43" s="95">
        <f t="shared" si="119"/>
        <v>0</v>
      </c>
      <c r="AB43" s="96">
        <f t="shared" si="120"/>
        <v>0</v>
      </c>
      <c r="AC43" s="84"/>
      <c r="AD43" s="176"/>
      <c r="AE43" s="172"/>
      <c r="AF43" s="87"/>
      <c r="AG43" s="90"/>
      <c r="AH43" s="182"/>
      <c r="AI43" s="78"/>
      <c r="AJ43" s="92">
        <f t="shared" si="112"/>
        <v>0</v>
      </c>
      <c r="AK43" s="268"/>
      <c r="AL43" s="95">
        <f>AK43*$CN$8</f>
        <v>0</v>
      </c>
      <c r="AM43" s="96">
        <f t="shared" si="121"/>
        <v>0</v>
      </c>
      <c r="AN43" s="84"/>
      <c r="AO43" s="176"/>
      <c r="AP43" s="172"/>
      <c r="AQ43" s="87"/>
      <c r="AR43" s="90"/>
      <c r="AS43" s="182"/>
      <c r="AT43" s="78"/>
      <c r="AU43" s="92">
        <f t="shared" si="113"/>
        <v>40</v>
      </c>
      <c r="AV43" s="268">
        <v>2</v>
      </c>
      <c r="AW43" s="95">
        <f t="shared" si="122"/>
        <v>40</v>
      </c>
      <c r="AX43" s="96">
        <f t="shared" si="123"/>
        <v>20</v>
      </c>
      <c r="AY43" s="84">
        <v>20</v>
      </c>
      <c r="AZ43" s="176"/>
      <c r="BA43" s="172"/>
      <c r="BB43" s="87"/>
      <c r="BC43" s="90"/>
      <c r="BD43" s="182" t="s">
        <v>237</v>
      </c>
      <c r="BE43" s="78"/>
      <c r="BF43" s="92">
        <f t="shared" si="114"/>
        <v>0</v>
      </c>
      <c r="BG43" s="268"/>
      <c r="BH43" s="95">
        <f t="shared" si="124"/>
        <v>0</v>
      </c>
      <c r="BI43" s="96">
        <f t="shared" si="125"/>
        <v>0</v>
      </c>
      <c r="BJ43" s="84"/>
      <c r="BK43" s="176"/>
      <c r="BL43" s="172"/>
      <c r="BM43" s="87"/>
      <c r="BN43" s="90"/>
      <c r="BO43" s="182"/>
      <c r="BP43" s="78"/>
      <c r="BQ43" s="92">
        <f t="shared" si="115"/>
        <v>0</v>
      </c>
      <c r="BR43" s="268"/>
      <c r="BS43" s="324">
        <f t="shared" si="116"/>
        <v>0</v>
      </c>
      <c r="BT43" s="96">
        <f t="shared" si="126"/>
        <v>0</v>
      </c>
      <c r="BU43" s="84"/>
      <c r="BV43" s="176"/>
      <c r="BW43" s="172"/>
      <c r="BX43" s="87"/>
      <c r="BY43" s="90"/>
      <c r="BZ43" s="182"/>
      <c r="CA43" s="78"/>
      <c r="CB43" s="92">
        <f>CD43+CI43+CJ43</f>
        <v>0</v>
      </c>
      <c r="CC43" s="268"/>
      <c r="CD43" s="95">
        <f t="shared" si="127"/>
        <v>0</v>
      </c>
      <c r="CE43" s="96">
        <f t="shared" si="128"/>
        <v>0</v>
      </c>
      <c r="CF43" s="84"/>
      <c r="CG43" s="176"/>
      <c r="CH43" s="172"/>
      <c r="CI43" s="87"/>
      <c r="CJ43" s="90"/>
      <c r="CK43" s="182"/>
      <c r="CL43" s="139"/>
      <c r="CM43" s="14">
        <v>48</v>
      </c>
    </row>
    <row r="44" spans="1:91" ht="30.75" customHeight="1" x14ac:dyDescent="0.25">
      <c r="A44" s="6" t="s">
        <v>126</v>
      </c>
      <c r="B44" s="217" t="s">
        <v>24</v>
      </c>
      <c r="C44" s="238" t="s">
        <v>368</v>
      </c>
      <c r="D44" s="41">
        <f>N44+Y44+AJ44+AU44+BF44+BQ44+CB44</f>
        <v>164</v>
      </c>
      <c r="E44" s="49"/>
      <c r="F44" s="49">
        <f>P44+AA44+AL44+AW44+BH44+BS44+CD44</f>
        <v>155</v>
      </c>
      <c r="G44" s="49">
        <f>Q44+AB44+AM44+AX44+BI44+BT44+CE44</f>
        <v>85</v>
      </c>
      <c r="H44" s="49">
        <f>S44+AD44+AO44+AZ44+BK44+BV44+CG44</f>
        <v>0</v>
      </c>
      <c r="I44" s="49">
        <f>R44+AC44+AN44+AY44+BJ44+BU44+CF44</f>
        <v>70</v>
      </c>
      <c r="J44" s="49">
        <f>T44+AE44+AP44+BA44+BL44+BW44+CH44</f>
        <v>0</v>
      </c>
      <c r="K44" s="49">
        <f>U44+AF44+AQ44+BB44+BM44+BX44+CI44</f>
        <v>3</v>
      </c>
      <c r="L44" s="49">
        <f>V44+AG44+AR44+BC44+BN44+BY44+CJ44</f>
        <v>6</v>
      </c>
      <c r="M44" s="78"/>
      <c r="N44" s="92">
        <f>P44+U44+V44</f>
        <v>0</v>
      </c>
      <c r="O44" s="268"/>
      <c r="P44" s="95">
        <f t="shared" si="117"/>
        <v>0</v>
      </c>
      <c r="Q44" s="96">
        <f t="shared" si="118"/>
        <v>0</v>
      </c>
      <c r="R44" s="84"/>
      <c r="S44" s="176"/>
      <c r="T44" s="172"/>
      <c r="U44" s="87"/>
      <c r="V44" s="90"/>
      <c r="W44" s="182"/>
      <c r="X44" s="78"/>
      <c r="Y44" s="92">
        <f t="shared" si="111"/>
        <v>0</v>
      </c>
      <c r="Z44" s="268"/>
      <c r="AA44" s="95">
        <f t="shared" si="119"/>
        <v>0</v>
      </c>
      <c r="AB44" s="96">
        <f t="shared" si="120"/>
        <v>0</v>
      </c>
      <c r="AC44" s="84"/>
      <c r="AD44" s="176"/>
      <c r="AE44" s="172"/>
      <c r="AF44" s="87"/>
      <c r="AG44" s="90"/>
      <c r="AH44" s="182"/>
      <c r="AI44" s="78"/>
      <c r="AJ44" s="92">
        <f t="shared" si="112"/>
        <v>75</v>
      </c>
      <c r="AK44" s="268">
        <v>5</v>
      </c>
      <c r="AL44" s="95">
        <f t="shared" ref="AL44:AL53" si="129">AK44*$CN$8</f>
        <v>75</v>
      </c>
      <c r="AM44" s="96">
        <f t="shared" si="121"/>
        <v>45</v>
      </c>
      <c r="AN44" s="84">
        <v>30</v>
      </c>
      <c r="AO44" s="176"/>
      <c r="AP44" s="172"/>
      <c r="AQ44" s="87"/>
      <c r="AR44" s="90"/>
      <c r="AS44" s="182" t="s">
        <v>95</v>
      </c>
      <c r="AT44" s="78"/>
      <c r="AU44" s="92">
        <f t="shared" si="113"/>
        <v>89</v>
      </c>
      <c r="AV44" s="268">
        <v>4</v>
      </c>
      <c r="AW44" s="95">
        <f t="shared" si="122"/>
        <v>80</v>
      </c>
      <c r="AX44" s="96">
        <f t="shared" si="123"/>
        <v>40</v>
      </c>
      <c r="AY44" s="84">
        <v>40</v>
      </c>
      <c r="AZ44" s="176"/>
      <c r="BA44" s="172"/>
      <c r="BB44" s="87">
        <v>3</v>
      </c>
      <c r="BC44" s="90">
        <v>6</v>
      </c>
      <c r="BD44" s="182" t="s">
        <v>82</v>
      </c>
      <c r="BE44" s="78"/>
      <c r="BF44" s="92">
        <f t="shared" si="114"/>
        <v>0</v>
      </c>
      <c r="BG44" s="268"/>
      <c r="BH44" s="95">
        <f t="shared" si="124"/>
        <v>0</v>
      </c>
      <c r="BI44" s="96">
        <f t="shared" si="125"/>
        <v>0</v>
      </c>
      <c r="BJ44" s="84"/>
      <c r="BK44" s="176"/>
      <c r="BL44" s="172"/>
      <c r="BM44" s="87"/>
      <c r="BN44" s="90"/>
      <c r="BO44" s="182"/>
      <c r="BP44" s="78"/>
      <c r="BQ44" s="92">
        <f t="shared" si="115"/>
        <v>0</v>
      </c>
      <c r="BR44" s="268"/>
      <c r="BS44" s="324">
        <f t="shared" si="116"/>
        <v>0</v>
      </c>
      <c r="BT44" s="96">
        <f t="shared" si="126"/>
        <v>0</v>
      </c>
      <c r="BU44" s="84"/>
      <c r="BV44" s="176"/>
      <c r="BW44" s="172"/>
      <c r="BX44" s="87"/>
      <c r="BY44" s="90"/>
      <c r="BZ44" s="182"/>
      <c r="CA44" s="78"/>
      <c r="CB44" s="92">
        <f>CD44+CI44+CJ44</f>
        <v>0</v>
      </c>
      <c r="CC44" s="268"/>
      <c r="CD44" s="95">
        <f t="shared" si="127"/>
        <v>0</v>
      </c>
      <c r="CE44" s="96">
        <f t="shared" si="128"/>
        <v>0</v>
      </c>
      <c r="CF44" s="84"/>
      <c r="CG44" s="176"/>
      <c r="CH44" s="172"/>
      <c r="CI44" s="87"/>
      <c r="CJ44" s="90"/>
      <c r="CK44" s="182"/>
      <c r="CL44" s="139"/>
      <c r="CM44" s="14">
        <v>152</v>
      </c>
    </row>
    <row r="45" spans="1:91" ht="33.75" customHeight="1" x14ac:dyDescent="0.25">
      <c r="A45" s="6" t="s">
        <v>127</v>
      </c>
      <c r="B45" s="217" t="s">
        <v>26</v>
      </c>
      <c r="C45" s="244" t="s">
        <v>95</v>
      </c>
      <c r="D45" s="41">
        <f>N45+Y45+AJ45+AU45+BF45+BQ45+CB45</f>
        <v>36</v>
      </c>
      <c r="E45" s="49"/>
      <c r="F45" s="49">
        <f>P45+AA45+AL45+AW45+BH45+BS45+CD45</f>
        <v>36</v>
      </c>
      <c r="G45" s="49">
        <f>Q45+AB45+AM45+AX45+BI45+BT45+CE45</f>
        <v>36</v>
      </c>
      <c r="H45" s="49">
        <f>S45+AD45+AO45+AZ45+BK45+BV45+CG45</f>
        <v>0</v>
      </c>
      <c r="I45" s="49">
        <f>R45+AC45+AN45+AY45+BJ45+BU45+CF45</f>
        <v>0</v>
      </c>
      <c r="J45" s="49">
        <f>T45+AE45+AP45+BA45+BL45+BW45+CH45</f>
        <v>0</v>
      </c>
      <c r="K45" s="49">
        <f>U45+AF45+AQ45+BB45+BM45+BX45+CI45</f>
        <v>0</v>
      </c>
      <c r="L45" s="49">
        <f>V45+AG45+AR45+BC45+BN45+BY45+CJ45</f>
        <v>0</v>
      </c>
      <c r="M45" s="78"/>
      <c r="N45" s="92">
        <f>P45+U45+V45</f>
        <v>0</v>
      </c>
      <c r="O45" s="268"/>
      <c r="P45" s="95">
        <f t="shared" si="117"/>
        <v>0</v>
      </c>
      <c r="Q45" s="96">
        <f t="shared" si="118"/>
        <v>0</v>
      </c>
      <c r="R45" s="84"/>
      <c r="S45" s="176"/>
      <c r="T45" s="172"/>
      <c r="U45" s="87"/>
      <c r="V45" s="90"/>
      <c r="W45" s="182"/>
      <c r="X45" s="78"/>
      <c r="Y45" s="92">
        <f t="shared" si="111"/>
        <v>0</v>
      </c>
      <c r="Z45" s="268"/>
      <c r="AA45" s="95">
        <f t="shared" si="119"/>
        <v>0</v>
      </c>
      <c r="AB45" s="96">
        <f t="shared" si="120"/>
        <v>0</v>
      </c>
      <c r="AC45" s="84"/>
      <c r="AD45" s="176"/>
      <c r="AE45" s="172"/>
      <c r="AF45" s="87"/>
      <c r="AG45" s="90"/>
      <c r="AH45" s="182"/>
      <c r="AI45" s="78"/>
      <c r="AJ45" s="92">
        <f t="shared" si="112"/>
        <v>0</v>
      </c>
      <c r="AK45" s="268"/>
      <c r="AL45" s="95">
        <f t="shared" si="129"/>
        <v>0</v>
      </c>
      <c r="AM45" s="96">
        <f t="shared" si="121"/>
        <v>0</v>
      </c>
      <c r="AN45" s="84"/>
      <c r="AO45" s="176"/>
      <c r="AP45" s="172"/>
      <c r="AQ45" s="87"/>
      <c r="AR45" s="90"/>
      <c r="AS45" s="182"/>
      <c r="AT45" s="78"/>
      <c r="AU45" s="92">
        <f t="shared" si="113"/>
        <v>0</v>
      </c>
      <c r="AV45" s="268"/>
      <c r="AW45" s="95">
        <f t="shared" si="122"/>
        <v>0</v>
      </c>
      <c r="AX45" s="96">
        <f t="shared" si="123"/>
        <v>0</v>
      </c>
      <c r="AY45" s="84"/>
      <c r="AZ45" s="176"/>
      <c r="BA45" s="172"/>
      <c r="BB45" s="87"/>
      <c r="BC45" s="90"/>
      <c r="BD45" s="182"/>
      <c r="BE45" s="78"/>
      <c r="BF45" s="92">
        <f t="shared" si="114"/>
        <v>0</v>
      </c>
      <c r="BG45" s="268"/>
      <c r="BH45" s="95">
        <f t="shared" si="124"/>
        <v>0</v>
      </c>
      <c r="BI45" s="96">
        <f t="shared" si="125"/>
        <v>0</v>
      </c>
      <c r="BJ45" s="84"/>
      <c r="BK45" s="176"/>
      <c r="BL45" s="172"/>
      <c r="BM45" s="87"/>
      <c r="BN45" s="90"/>
      <c r="BO45" s="182"/>
      <c r="BP45" s="78"/>
      <c r="BQ45" s="92">
        <f t="shared" si="115"/>
        <v>0</v>
      </c>
      <c r="BR45" s="268"/>
      <c r="BS45" s="324">
        <f>BR45*$CN$11</f>
        <v>0</v>
      </c>
      <c r="BT45" s="96">
        <f t="shared" si="126"/>
        <v>0</v>
      </c>
      <c r="BU45" s="84"/>
      <c r="BV45" s="176"/>
      <c r="BW45" s="172"/>
      <c r="BX45" s="87"/>
      <c r="BY45" s="90"/>
      <c r="BZ45" s="182"/>
      <c r="CA45" s="78"/>
      <c r="CB45" s="92">
        <v>36</v>
      </c>
      <c r="CC45" s="268">
        <f>36/17</f>
        <v>2.1176470588235294</v>
      </c>
      <c r="CD45" s="95">
        <v>36</v>
      </c>
      <c r="CE45" s="96">
        <f t="shared" si="128"/>
        <v>36</v>
      </c>
      <c r="CF45" s="84"/>
      <c r="CG45" s="176"/>
      <c r="CH45" s="172"/>
      <c r="CI45" s="87"/>
      <c r="CJ45" s="90"/>
      <c r="CK45" s="182" t="s">
        <v>95</v>
      </c>
      <c r="CL45" s="139"/>
      <c r="CM45" s="14">
        <v>36</v>
      </c>
    </row>
    <row r="46" spans="1:91" ht="21.75" customHeight="1" x14ac:dyDescent="0.25">
      <c r="A46" s="6" t="s">
        <v>85</v>
      </c>
      <c r="B46" s="217" t="s">
        <v>27</v>
      </c>
      <c r="C46" s="238" t="s">
        <v>95</v>
      </c>
      <c r="D46" s="41">
        <f>N46+Y46+AJ46+AU46+BF46+BQ46+CB46</f>
        <v>68</v>
      </c>
      <c r="E46" s="49"/>
      <c r="F46" s="49">
        <f>P46+AA46+AL46+AW46+BH46+BS46+CD46</f>
        <v>68</v>
      </c>
      <c r="G46" s="49">
        <f>Q46+AB46+AM46+AX46+BI46+BT46+CE46</f>
        <v>68</v>
      </c>
      <c r="H46" s="49">
        <f>S46+AD46+AO46+AZ46+BK46+BV46+CG46</f>
        <v>0</v>
      </c>
      <c r="I46" s="49">
        <f>R46+AC46+AN46+AY46+BJ46+BU46+CF46</f>
        <v>0</v>
      </c>
      <c r="J46" s="49">
        <f>T46+AE46+AP46+BA46+BL46+BW46+CH46</f>
        <v>0</v>
      </c>
      <c r="K46" s="49">
        <f>U46+AF46+AQ46+BB46+BM46+BX46+CI46</f>
        <v>0</v>
      </c>
      <c r="L46" s="49">
        <f>V46+AG46+AR46+BC46+BN46+BY46+CJ46</f>
        <v>0</v>
      </c>
      <c r="M46" s="78"/>
      <c r="N46" s="92">
        <f>P46+U46+V46</f>
        <v>0</v>
      </c>
      <c r="O46" s="268"/>
      <c r="P46" s="95">
        <f t="shared" si="117"/>
        <v>0</v>
      </c>
      <c r="Q46" s="96">
        <f t="shared" si="118"/>
        <v>0</v>
      </c>
      <c r="R46" s="84"/>
      <c r="S46" s="176"/>
      <c r="T46" s="172"/>
      <c r="U46" s="87"/>
      <c r="V46" s="90"/>
      <c r="W46" s="182"/>
      <c r="X46" s="78"/>
      <c r="Y46" s="92">
        <f t="shared" si="111"/>
        <v>0</v>
      </c>
      <c r="Z46" s="268"/>
      <c r="AA46" s="95">
        <f t="shared" si="119"/>
        <v>0</v>
      </c>
      <c r="AB46" s="96">
        <f t="shared" si="120"/>
        <v>0</v>
      </c>
      <c r="AC46" s="84"/>
      <c r="AD46" s="176"/>
      <c r="AE46" s="172"/>
      <c r="AF46" s="87"/>
      <c r="AG46" s="90"/>
      <c r="AH46" s="182"/>
      <c r="AI46" s="78"/>
      <c r="AJ46" s="92">
        <f t="shared" si="112"/>
        <v>0</v>
      </c>
      <c r="AK46" s="268"/>
      <c r="AL46" s="95">
        <f t="shared" si="129"/>
        <v>0</v>
      </c>
      <c r="AM46" s="96">
        <f t="shared" si="121"/>
        <v>0</v>
      </c>
      <c r="AN46" s="84"/>
      <c r="AO46" s="176"/>
      <c r="AP46" s="172"/>
      <c r="AQ46" s="87"/>
      <c r="AR46" s="90"/>
      <c r="AS46" s="182"/>
      <c r="AT46" s="78"/>
      <c r="AU46" s="92">
        <f t="shared" si="113"/>
        <v>0</v>
      </c>
      <c r="AV46" s="268"/>
      <c r="AW46" s="95">
        <f t="shared" si="122"/>
        <v>0</v>
      </c>
      <c r="AX46" s="96">
        <f t="shared" si="123"/>
        <v>0</v>
      </c>
      <c r="AY46" s="84"/>
      <c r="AZ46" s="176"/>
      <c r="BA46" s="172"/>
      <c r="BB46" s="87"/>
      <c r="BC46" s="90"/>
      <c r="BD46" s="182"/>
      <c r="BE46" s="78"/>
      <c r="BF46" s="92">
        <f t="shared" si="114"/>
        <v>0</v>
      </c>
      <c r="BG46" s="268"/>
      <c r="BH46" s="95">
        <f t="shared" si="124"/>
        <v>0</v>
      </c>
      <c r="BI46" s="96">
        <f t="shared" si="125"/>
        <v>0</v>
      </c>
      <c r="BJ46" s="84"/>
      <c r="BK46" s="176"/>
      <c r="BL46" s="172"/>
      <c r="BM46" s="87"/>
      <c r="BN46" s="90"/>
      <c r="BO46" s="182"/>
      <c r="BP46" s="78"/>
      <c r="BQ46" s="92">
        <f t="shared" si="115"/>
        <v>68</v>
      </c>
      <c r="BR46" s="268">
        <f>BS46/$CN$11</f>
        <v>3.7777777777777777</v>
      </c>
      <c r="BS46" s="324">
        <v>68</v>
      </c>
      <c r="BT46" s="96">
        <f t="shared" si="126"/>
        <v>68</v>
      </c>
      <c r="BU46" s="84"/>
      <c r="BV46" s="176"/>
      <c r="BW46" s="172"/>
      <c r="BX46" s="87"/>
      <c r="BY46" s="90"/>
      <c r="BZ46" s="182" t="s">
        <v>95</v>
      </c>
      <c r="CA46" s="79"/>
      <c r="CB46" s="92">
        <f>CD46+CI46+CJ46</f>
        <v>0</v>
      </c>
      <c r="CC46" s="268"/>
      <c r="CD46" s="95">
        <f>CC46*$CN$12</f>
        <v>0</v>
      </c>
      <c r="CE46" s="96">
        <f t="shared" si="128"/>
        <v>0</v>
      </c>
      <c r="CF46" s="84"/>
      <c r="CG46" s="176"/>
      <c r="CH46" s="172"/>
      <c r="CI46" s="87"/>
      <c r="CJ46" s="90"/>
      <c r="CK46" s="182"/>
      <c r="CL46" s="139"/>
      <c r="CM46" s="14">
        <v>68</v>
      </c>
    </row>
    <row r="47" spans="1:91" ht="21" customHeight="1" x14ac:dyDescent="0.25">
      <c r="A47" s="6" t="s">
        <v>87</v>
      </c>
      <c r="B47" s="217" t="s">
        <v>105</v>
      </c>
      <c r="C47" s="238" t="s">
        <v>95</v>
      </c>
      <c r="D47" s="41">
        <f>N47+Y47+AJ47+AU47+BF47+BQ47+CB47</f>
        <v>40</v>
      </c>
      <c r="E47" s="49"/>
      <c r="F47" s="49">
        <f>P47+AA47+AL47+AW47+BH47+BS47+CD47</f>
        <v>40</v>
      </c>
      <c r="G47" s="49">
        <f>Q47+AB47+AM47+AX47+BI47+BT47+CE47</f>
        <v>30</v>
      </c>
      <c r="H47" s="49">
        <f>S47+AD47+AO47+AZ47+BK47+BV47+CG47</f>
        <v>0</v>
      </c>
      <c r="I47" s="49">
        <f>R47+AC47+AN47+AY47+BJ47+BU47+CF47</f>
        <v>10</v>
      </c>
      <c r="J47" s="49">
        <f>T47+AE47+AP47+BA47+BL47+BW47+CH47</f>
        <v>0</v>
      </c>
      <c r="K47" s="49">
        <f>U47+AF47+AQ47+BB47+BM47+BX47+CI47</f>
        <v>0</v>
      </c>
      <c r="L47" s="49">
        <f>V47+AG47+AR47+BC47+BN47+BY47+CJ47</f>
        <v>0</v>
      </c>
      <c r="M47" s="78"/>
      <c r="N47" s="92">
        <f>P47+U47+V47</f>
        <v>0</v>
      </c>
      <c r="O47" s="268"/>
      <c r="P47" s="95">
        <f t="shared" si="117"/>
        <v>0</v>
      </c>
      <c r="Q47" s="96">
        <f t="shared" si="118"/>
        <v>0</v>
      </c>
      <c r="R47" s="84"/>
      <c r="S47" s="176"/>
      <c r="T47" s="172"/>
      <c r="U47" s="87"/>
      <c r="V47" s="90"/>
      <c r="W47" s="182"/>
      <c r="X47" s="78"/>
      <c r="Y47" s="92">
        <f t="shared" si="111"/>
        <v>0</v>
      </c>
      <c r="Z47" s="268"/>
      <c r="AA47" s="95">
        <f t="shared" si="119"/>
        <v>0</v>
      </c>
      <c r="AB47" s="96">
        <f t="shared" si="120"/>
        <v>0</v>
      </c>
      <c r="AC47" s="84"/>
      <c r="AD47" s="176"/>
      <c r="AE47" s="172"/>
      <c r="AF47" s="87"/>
      <c r="AG47" s="90"/>
      <c r="AH47" s="182"/>
      <c r="AI47" s="78"/>
      <c r="AJ47" s="92">
        <f t="shared" si="112"/>
        <v>0</v>
      </c>
      <c r="AK47" s="268"/>
      <c r="AL47" s="95">
        <f t="shared" si="129"/>
        <v>0</v>
      </c>
      <c r="AM47" s="96">
        <f t="shared" si="121"/>
        <v>0</v>
      </c>
      <c r="AN47" s="84"/>
      <c r="AO47" s="176"/>
      <c r="AP47" s="172"/>
      <c r="AQ47" s="87"/>
      <c r="AR47" s="90"/>
      <c r="AS47" s="182"/>
      <c r="AT47" s="78"/>
      <c r="AU47" s="92">
        <f t="shared" si="113"/>
        <v>40</v>
      </c>
      <c r="AV47" s="268">
        <v>2</v>
      </c>
      <c r="AW47" s="95">
        <f t="shared" si="122"/>
        <v>40</v>
      </c>
      <c r="AX47" s="96">
        <f t="shared" si="123"/>
        <v>30</v>
      </c>
      <c r="AY47" s="84">
        <v>10</v>
      </c>
      <c r="AZ47" s="176"/>
      <c r="BA47" s="172"/>
      <c r="BB47" s="87"/>
      <c r="BC47" s="90"/>
      <c r="BD47" s="182" t="s">
        <v>95</v>
      </c>
      <c r="BE47" s="78"/>
      <c r="BF47" s="92">
        <f t="shared" si="114"/>
        <v>0</v>
      </c>
      <c r="BG47" s="268"/>
      <c r="BH47" s="95">
        <f t="shared" si="124"/>
        <v>0</v>
      </c>
      <c r="BI47" s="96">
        <f t="shared" si="125"/>
        <v>0</v>
      </c>
      <c r="BJ47" s="84"/>
      <c r="BK47" s="176"/>
      <c r="BL47" s="172"/>
      <c r="BM47" s="87"/>
      <c r="BN47" s="90"/>
      <c r="BO47" s="182"/>
      <c r="BP47" s="79"/>
      <c r="BQ47" s="92">
        <f t="shared" si="115"/>
        <v>0</v>
      </c>
      <c r="BR47" s="268"/>
      <c r="BS47" s="324">
        <f>BR47*$CN$11</f>
        <v>0</v>
      </c>
      <c r="BT47" s="96">
        <f t="shared" si="126"/>
        <v>0</v>
      </c>
      <c r="BU47" s="84"/>
      <c r="BV47" s="176"/>
      <c r="BW47" s="172"/>
      <c r="BX47" s="87"/>
      <c r="BY47" s="90"/>
      <c r="BZ47" s="182"/>
      <c r="CA47" s="78"/>
      <c r="CB47" s="92">
        <f>CD47+CI47+CJ47</f>
        <v>0</v>
      </c>
      <c r="CC47" s="268"/>
      <c r="CD47" s="95">
        <f t="shared" ref="CD47:CD48" si="130">CC47*$CN$12</f>
        <v>0</v>
      </c>
      <c r="CE47" s="96">
        <f t="shared" si="128"/>
        <v>0</v>
      </c>
      <c r="CF47" s="84"/>
      <c r="CG47" s="176"/>
      <c r="CH47" s="172"/>
      <c r="CI47" s="87"/>
      <c r="CJ47" s="90"/>
      <c r="CK47" s="182"/>
      <c r="CL47" s="139"/>
      <c r="CM47" s="14">
        <v>36</v>
      </c>
    </row>
    <row r="48" spans="1:91" ht="30" customHeight="1" x14ac:dyDescent="0.25">
      <c r="A48" s="6" t="s">
        <v>128</v>
      </c>
      <c r="B48" s="217" t="s">
        <v>25</v>
      </c>
      <c r="C48" s="238" t="s">
        <v>82</v>
      </c>
      <c r="D48" s="41">
        <f>N48+Y48+AJ48+AU48+BF48+BQ48+CB48</f>
        <v>89</v>
      </c>
      <c r="E48" s="49"/>
      <c r="F48" s="49">
        <f>P48+AA48+AL48+AW48+BH48+BS48+CD48</f>
        <v>80</v>
      </c>
      <c r="G48" s="49">
        <f>Q48+AB48+AM48+AX48+BI48+BT48+CE48</f>
        <v>50</v>
      </c>
      <c r="H48" s="49">
        <f>S48+AD48+AO48+AZ48+BK48+BV48+CG48</f>
        <v>0</v>
      </c>
      <c r="I48" s="49">
        <f>R48+AC48+AN48+AY48+BJ48+BU48+CF48</f>
        <v>30</v>
      </c>
      <c r="J48" s="49">
        <f>T48+AE48+AP48+BA48+BL48+BW48+CH48</f>
        <v>0</v>
      </c>
      <c r="K48" s="49">
        <f>U48+AF48+AQ48+BB48+BM48+BX48+CI48</f>
        <v>3</v>
      </c>
      <c r="L48" s="49">
        <f>V48+AG48+AR48+BC48+BN48+BY48+CJ48</f>
        <v>6</v>
      </c>
      <c r="M48" s="78"/>
      <c r="N48" s="92">
        <f>P48+U48+V48</f>
        <v>0</v>
      </c>
      <c r="O48" s="268"/>
      <c r="P48" s="95">
        <f t="shared" si="117"/>
        <v>0</v>
      </c>
      <c r="Q48" s="96">
        <f t="shared" si="118"/>
        <v>0</v>
      </c>
      <c r="R48" s="84"/>
      <c r="S48" s="176"/>
      <c r="T48" s="172"/>
      <c r="U48" s="87"/>
      <c r="V48" s="90"/>
      <c r="W48" s="182"/>
      <c r="X48" s="78"/>
      <c r="Y48" s="92">
        <f t="shared" si="111"/>
        <v>0</v>
      </c>
      <c r="Z48" s="268"/>
      <c r="AA48" s="95">
        <f t="shared" si="119"/>
        <v>0</v>
      </c>
      <c r="AB48" s="96">
        <f t="shared" si="120"/>
        <v>0</v>
      </c>
      <c r="AC48" s="84"/>
      <c r="AD48" s="176"/>
      <c r="AE48" s="172"/>
      <c r="AF48" s="87"/>
      <c r="AG48" s="90"/>
      <c r="AH48" s="182"/>
      <c r="AI48" s="78"/>
      <c r="AJ48" s="92">
        <f t="shared" si="112"/>
        <v>0</v>
      </c>
      <c r="AK48" s="268"/>
      <c r="AL48" s="95">
        <f t="shared" si="129"/>
        <v>0</v>
      </c>
      <c r="AM48" s="96">
        <f t="shared" si="121"/>
        <v>0</v>
      </c>
      <c r="AN48" s="84"/>
      <c r="AO48" s="176"/>
      <c r="AP48" s="172"/>
      <c r="AQ48" s="87"/>
      <c r="AR48" s="90"/>
      <c r="AS48" s="182"/>
      <c r="AT48" s="78"/>
      <c r="AU48" s="92">
        <f t="shared" si="113"/>
        <v>89</v>
      </c>
      <c r="AV48" s="268">
        <v>4</v>
      </c>
      <c r="AW48" s="95">
        <f t="shared" si="122"/>
        <v>80</v>
      </c>
      <c r="AX48" s="96">
        <f t="shared" si="123"/>
        <v>50</v>
      </c>
      <c r="AY48" s="84">
        <v>30</v>
      </c>
      <c r="AZ48" s="176"/>
      <c r="BA48" s="172"/>
      <c r="BB48" s="87">
        <v>3</v>
      </c>
      <c r="BC48" s="90">
        <v>6</v>
      </c>
      <c r="BD48" s="182" t="s">
        <v>82</v>
      </c>
      <c r="BE48" s="78"/>
      <c r="BF48" s="92">
        <f t="shared" si="114"/>
        <v>0</v>
      </c>
      <c r="BG48" s="268"/>
      <c r="BH48" s="95">
        <f t="shared" si="124"/>
        <v>0</v>
      </c>
      <c r="BI48" s="96">
        <f t="shared" si="125"/>
        <v>0</v>
      </c>
      <c r="BJ48" s="84"/>
      <c r="BK48" s="176"/>
      <c r="BL48" s="172"/>
      <c r="BM48" s="87"/>
      <c r="BN48" s="90"/>
      <c r="BO48" s="182"/>
      <c r="BP48" s="78"/>
      <c r="BQ48" s="92">
        <f t="shared" si="115"/>
        <v>0</v>
      </c>
      <c r="BR48" s="268"/>
      <c r="BS48" s="324">
        <f t="shared" ref="BS48:BS49" si="131">BR48*$CN$11</f>
        <v>0</v>
      </c>
      <c r="BT48" s="96">
        <f t="shared" si="126"/>
        <v>0</v>
      </c>
      <c r="BU48" s="84"/>
      <c r="BV48" s="176"/>
      <c r="BW48" s="172"/>
      <c r="BX48" s="87"/>
      <c r="BY48" s="90"/>
      <c r="BZ48" s="182"/>
      <c r="CA48" s="78"/>
      <c r="CB48" s="92">
        <f>CD48+CI48+CJ48</f>
        <v>0</v>
      </c>
      <c r="CC48" s="268"/>
      <c r="CD48" s="95">
        <f t="shared" si="130"/>
        <v>0</v>
      </c>
      <c r="CE48" s="96">
        <f t="shared" si="128"/>
        <v>0</v>
      </c>
      <c r="CF48" s="84"/>
      <c r="CG48" s="176"/>
      <c r="CH48" s="172"/>
      <c r="CI48" s="87"/>
      <c r="CJ48" s="90"/>
      <c r="CK48" s="182"/>
      <c r="CL48" s="139"/>
      <c r="CM48" s="14">
        <v>68</v>
      </c>
    </row>
    <row r="49" spans="1:91" ht="30.75" customHeight="1" x14ac:dyDescent="0.25">
      <c r="A49" s="6" t="s">
        <v>88</v>
      </c>
      <c r="B49" s="217" t="s">
        <v>108</v>
      </c>
      <c r="C49" s="238" t="s">
        <v>95</v>
      </c>
      <c r="D49" s="41">
        <f>N49+Y49+AJ49+AU49+BF49+BQ49+CB49</f>
        <v>36</v>
      </c>
      <c r="E49" s="49"/>
      <c r="F49" s="49">
        <f>P49+AA49+AL49+AW49+BH49+BS49+CD49</f>
        <v>36</v>
      </c>
      <c r="G49" s="49">
        <f>Q49+AB49+AM49+AX49+BI49+BT49+CE49</f>
        <v>22</v>
      </c>
      <c r="H49" s="49">
        <f>S49+AD49+AO49+AZ49+BK49+BV49+CG49</f>
        <v>0</v>
      </c>
      <c r="I49" s="49">
        <f>R49+AC49+AN49+AY49+BJ49+BU49+CF49</f>
        <v>14</v>
      </c>
      <c r="J49" s="49">
        <f>T49+AE49+AP49+BA49+BL49+BW49+CH49</f>
        <v>0</v>
      </c>
      <c r="K49" s="49">
        <f>U49+AF49+AQ49+BB49+BM49+BX49+CI49</f>
        <v>0</v>
      </c>
      <c r="L49" s="49">
        <f>V49+AG49+AR49+BC49+BN49+BY49+CJ49</f>
        <v>0</v>
      </c>
      <c r="M49" s="78"/>
      <c r="N49" s="92">
        <f>P49+U49+V49</f>
        <v>0</v>
      </c>
      <c r="O49" s="268"/>
      <c r="P49" s="95">
        <f t="shared" si="117"/>
        <v>0</v>
      </c>
      <c r="Q49" s="96">
        <f t="shared" si="118"/>
        <v>0</v>
      </c>
      <c r="R49" s="84"/>
      <c r="S49" s="176"/>
      <c r="T49" s="172"/>
      <c r="U49" s="87"/>
      <c r="V49" s="90"/>
      <c r="W49" s="182"/>
      <c r="X49" s="78"/>
      <c r="Y49" s="92">
        <f t="shared" si="111"/>
        <v>0</v>
      </c>
      <c r="Z49" s="268"/>
      <c r="AA49" s="95">
        <f t="shared" si="119"/>
        <v>0</v>
      </c>
      <c r="AB49" s="96">
        <f t="shared" si="120"/>
        <v>0</v>
      </c>
      <c r="AC49" s="84"/>
      <c r="AD49" s="176"/>
      <c r="AE49" s="172"/>
      <c r="AF49" s="87"/>
      <c r="AG49" s="90"/>
      <c r="AH49" s="182"/>
      <c r="AI49" s="78"/>
      <c r="AJ49" s="92">
        <f t="shared" si="112"/>
        <v>0</v>
      </c>
      <c r="AK49" s="268"/>
      <c r="AL49" s="95">
        <f t="shared" si="129"/>
        <v>0</v>
      </c>
      <c r="AM49" s="96">
        <f t="shared" si="121"/>
        <v>0</v>
      </c>
      <c r="AN49" s="84"/>
      <c r="AO49" s="176"/>
      <c r="AP49" s="172"/>
      <c r="AQ49" s="87"/>
      <c r="AR49" s="90"/>
      <c r="AS49" s="182"/>
      <c r="AT49" s="78"/>
      <c r="AU49" s="92">
        <f t="shared" si="113"/>
        <v>0</v>
      </c>
      <c r="AV49" s="268"/>
      <c r="AW49" s="95">
        <f t="shared" si="122"/>
        <v>0</v>
      </c>
      <c r="AX49" s="96">
        <f t="shared" si="123"/>
        <v>0</v>
      </c>
      <c r="AY49" s="84"/>
      <c r="AZ49" s="176"/>
      <c r="BA49" s="172"/>
      <c r="BB49" s="87"/>
      <c r="BC49" s="90"/>
      <c r="BD49" s="182"/>
      <c r="BE49" s="78"/>
      <c r="BF49" s="92">
        <f t="shared" si="114"/>
        <v>0</v>
      </c>
      <c r="BG49" s="268"/>
      <c r="BH49" s="95">
        <f t="shared" si="124"/>
        <v>0</v>
      </c>
      <c r="BI49" s="96">
        <f t="shared" si="125"/>
        <v>0</v>
      </c>
      <c r="BJ49" s="84"/>
      <c r="BK49" s="176"/>
      <c r="BL49" s="172"/>
      <c r="BM49" s="87"/>
      <c r="BN49" s="90"/>
      <c r="BO49" s="182"/>
      <c r="BP49" s="78"/>
      <c r="BQ49" s="92">
        <f t="shared" si="115"/>
        <v>0</v>
      </c>
      <c r="BR49" s="268"/>
      <c r="BS49" s="324">
        <f t="shared" si="131"/>
        <v>0</v>
      </c>
      <c r="BT49" s="96">
        <f t="shared" si="126"/>
        <v>0</v>
      </c>
      <c r="BU49" s="84"/>
      <c r="BV49" s="176"/>
      <c r="BW49" s="172"/>
      <c r="BX49" s="87"/>
      <c r="BY49" s="90"/>
      <c r="BZ49" s="182"/>
      <c r="CA49" s="79"/>
      <c r="CB49" s="92">
        <v>36</v>
      </c>
      <c r="CC49" s="268">
        <v>2.12</v>
      </c>
      <c r="CD49" s="95">
        <v>36</v>
      </c>
      <c r="CE49" s="96">
        <f t="shared" si="128"/>
        <v>22</v>
      </c>
      <c r="CF49" s="84">
        <v>14</v>
      </c>
      <c r="CG49" s="176"/>
      <c r="CH49" s="172"/>
      <c r="CI49" s="87"/>
      <c r="CJ49" s="90"/>
      <c r="CK49" s="182" t="s">
        <v>95</v>
      </c>
      <c r="CL49" s="139"/>
      <c r="CM49" s="14">
        <v>36</v>
      </c>
    </row>
    <row r="50" spans="1:91" ht="17.25" customHeight="1" x14ac:dyDescent="0.25">
      <c r="A50" s="6" t="s">
        <v>89</v>
      </c>
      <c r="B50" s="217" t="s">
        <v>109</v>
      </c>
      <c r="C50" s="238" t="s">
        <v>95</v>
      </c>
      <c r="D50" s="41">
        <f>N50+Y50+AJ50+AU50+BF50+BQ50+CB50</f>
        <v>54</v>
      </c>
      <c r="E50" s="49"/>
      <c r="F50" s="49">
        <f>P50+AA50+AL50+AW50+BH50+BS50+CD50</f>
        <v>54</v>
      </c>
      <c r="G50" s="49">
        <f>Q50+AB50+AM50+AX50+BI50+BT50+CE50</f>
        <v>54</v>
      </c>
      <c r="H50" s="49">
        <f>S50+AD50+AO50+AZ50+BK50+BV50+CG50</f>
        <v>0</v>
      </c>
      <c r="I50" s="49">
        <f>R50+AC50+AN50+AY50+BJ50+BU50+CF50</f>
        <v>0</v>
      </c>
      <c r="J50" s="49">
        <f>T50+AE50+AP50+BA50+BL50+BW50+CH50</f>
        <v>0</v>
      </c>
      <c r="K50" s="49">
        <f>U50+AF50+AQ50+BB50+BM50+BX50+CI50</f>
        <v>0</v>
      </c>
      <c r="L50" s="49">
        <f>V50+AG50+AR50+BC50+BN50+BY50+CJ50</f>
        <v>0</v>
      </c>
      <c r="M50" s="78"/>
      <c r="N50" s="92">
        <f>P50+U50+V50</f>
        <v>0</v>
      </c>
      <c r="O50" s="268"/>
      <c r="P50" s="95">
        <f t="shared" si="117"/>
        <v>0</v>
      </c>
      <c r="Q50" s="96">
        <f t="shared" si="118"/>
        <v>0</v>
      </c>
      <c r="R50" s="84"/>
      <c r="S50" s="176"/>
      <c r="T50" s="172"/>
      <c r="U50" s="87"/>
      <c r="V50" s="90"/>
      <c r="W50" s="182"/>
      <c r="X50" s="78"/>
      <c r="Y50" s="92">
        <f t="shared" si="111"/>
        <v>0</v>
      </c>
      <c r="Z50" s="268"/>
      <c r="AA50" s="95">
        <f t="shared" si="119"/>
        <v>0</v>
      </c>
      <c r="AB50" s="96">
        <f t="shared" si="120"/>
        <v>0</v>
      </c>
      <c r="AC50" s="84"/>
      <c r="AD50" s="176"/>
      <c r="AE50" s="172"/>
      <c r="AF50" s="87"/>
      <c r="AG50" s="90"/>
      <c r="AH50" s="182"/>
      <c r="AI50" s="78"/>
      <c r="AJ50" s="92">
        <f t="shared" si="112"/>
        <v>0</v>
      </c>
      <c r="AK50" s="268"/>
      <c r="AL50" s="95">
        <f t="shared" si="129"/>
        <v>0</v>
      </c>
      <c r="AM50" s="96">
        <f t="shared" si="121"/>
        <v>0</v>
      </c>
      <c r="AN50" s="84"/>
      <c r="AO50" s="176"/>
      <c r="AP50" s="172"/>
      <c r="AQ50" s="87"/>
      <c r="AR50" s="90"/>
      <c r="AS50" s="182"/>
      <c r="AT50" s="78"/>
      <c r="AU50" s="92">
        <f t="shared" si="113"/>
        <v>0</v>
      </c>
      <c r="AV50" s="268"/>
      <c r="AW50" s="95">
        <f t="shared" si="122"/>
        <v>0</v>
      </c>
      <c r="AX50" s="96">
        <f t="shared" si="123"/>
        <v>0</v>
      </c>
      <c r="AY50" s="84"/>
      <c r="AZ50" s="176"/>
      <c r="BA50" s="172"/>
      <c r="BB50" s="87"/>
      <c r="BC50" s="90"/>
      <c r="BD50" s="182"/>
      <c r="BE50" s="78"/>
      <c r="BF50" s="92">
        <f t="shared" si="114"/>
        <v>0</v>
      </c>
      <c r="BG50" s="268"/>
      <c r="BH50" s="95">
        <f t="shared" si="124"/>
        <v>0</v>
      </c>
      <c r="BI50" s="96">
        <f t="shared" si="125"/>
        <v>0</v>
      </c>
      <c r="BJ50" s="84"/>
      <c r="BK50" s="176"/>
      <c r="BL50" s="172"/>
      <c r="BM50" s="87"/>
      <c r="BN50" s="90"/>
      <c r="BO50" s="182" t="s">
        <v>237</v>
      </c>
      <c r="BP50" s="79"/>
      <c r="BQ50" s="92">
        <f t="shared" si="115"/>
        <v>54</v>
      </c>
      <c r="BR50" s="268">
        <v>3</v>
      </c>
      <c r="BS50" s="324">
        <f>3*18</f>
        <v>54</v>
      </c>
      <c r="BT50" s="96">
        <f t="shared" si="126"/>
        <v>54</v>
      </c>
      <c r="BU50" s="84"/>
      <c r="BV50" s="176"/>
      <c r="BW50" s="172"/>
      <c r="BX50" s="87"/>
      <c r="BY50" s="90"/>
      <c r="BZ50" s="182"/>
      <c r="CA50" s="78"/>
      <c r="CB50" s="92">
        <f>CD50+CI50+CJ50</f>
        <v>0</v>
      </c>
      <c r="CC50" s="268"/>
      <c r="CD50" s="95">
        <f>CC50*$CN$12</f>
        <v>0</v>
      </c>
      <c r="CE50" s="96">
        <f t="shared" si="128"/>
        <v>0</v>
      </c>
      <c r="CF50" s="84"/>
      <c r="CG50" s="176"/>
      <c r="CH50" s="172"/>
      <c r="CI50" s="87"/>
      <c r="CJ50" s="90"/>
      <c r="CK50" s="182"/>
      <c r="CL50" s="139"/>
      <c r="CM50" s="14">
        <v>48</v>
      </c>
    </row>
    <row r="51" spans="1:91" ht="15.75" customHeight="1" x14ac:dyDescent="0.25">
      <c r="A51" s="6" t="s">
        <v>129</v>
      </c>
      <c r="B51" s="217" t="s">
        <v>22</v>
      </c>
      <c r="C51" s="238" t="s">
        <v>95</v>
      </c>
      <c r="D51" s="41">
        <f>N51+Y51+AJ51+AU51+BF51+BQ51+CB51</f>
        <v>60</v>
      </c>
      <c r="E51" s="49"/>
      <c r="F51" s="49">
        <f>P51+AA51+AL51+AW51+BH51+BS51+CD51</f>
        <v>60</v>
      </c>
      <c r="G51" s="49">
        <f>Q51+AB51+AM51+AX51+BI51+BT51+CE51</f>
        <v>40</v>
      </c>
      <c r="H51" s="49">
        <f>S51+AD51+AO51+AZ51+BK51+BV51+CG51</f>
        <v>0</v>
      </c>
      <c r="I51" s="49">
        <f>R51+AC51+AN51+AY51+BJ51+BU51+CF51</f>
        <v>20</v>
      </c>
      <c r="J51" s="49">
        <f>T51+AE51+AP51+BA51+BL51+BW51+CH51</f>
        <v>0</v>
      </c>
      <c r="K51" s="49">
        <f>U51+AF51+AQ51+BB51+BM51+BX51+CI51</f>
        <v>0</v>
      </c>
      <c r="L51" s="49">
        <f>V51+AG51+AR51+BC51+BN51+BY51+CJ51</f>
        <v>0</v>
      </c>
      <c r="M51" s="78"/>
      <c r="N51" s="92">
        <f>P51+U51+V51</f>
        <v>0</v>
      </c>
      <c r="O51" s="268"/>
      <c r="P51" s="95">
        <f t="shared" si="117"/>
        <v>0</v>
      </c>
      <c r="Q51" s="96">
        <f t="shared" si="118"/>
        <v>0</v>
      </c>
      <c r="R51" s="84"/>
      <c r="S51" s="176"/>
      <c r="T51" s="172"/>
      <c r="U51" s="87"/>
      <c r="V51" s="90"/>
      <c r="W51" s="182"/>
      <c r="X51" s="78"/>
      <c r="Y51" s="92">
        <f t="shared" si="111"/>
        <v>0</v>
      </c>
      <c r="Z51" s="268"/>
      <c r="AA51" s="95">
        <f t="shared" si="119"/>
        <v>0</v>
      </c>
      <c r="AB51" s="96">
        <f t="shared" si="120"/>
        <v>0</v>
      </c>
      <c r="AC51" s="84"/>
      <c r="AD51" s="176"/>
      <c r="AE51" s="172"/>
      <c r="AF51" s="87"/>
      <c r="AG51" s="90"/>
      <c r="AH51" s="182"/>
      <c r="AI51" s="78"/>
      <c r="AJ51" s="92">
        <f t="shared" si="112"/>
        <v>0</v>
      </c>
      <c r="AK51" s="268"/>
      <c r="AL51" s="95">
        <f t="shared" si="129"/>
        <v>0</v>
      </c>
      <c r="AM51" s="96">
        <f t="shared" si="121"/>
        <v>0</v>
      </c>
      <c r="AN51" s="84"/>
      <c r="AO51" s="176"/>
      <c r="AP51" s="172"/>
      <c r="AQ51" s="87"/>
      <c r="AR51" s="90"/>
      <c r="AS51" s="182"/>
      <c r="AT51" s="78"/>
      <c r="AU51" s="92">
        <f t="shared" si="113"/>
        <v>60</v>
      </c>
      <c r="AV51" s="268">
        <v>3</v>
      </c>
      <c r="AW51" s="95">
        <f t="shared" si="122"/>
        <v>60</v>
      </c>
      <c r="AX51" s="96">
        <f t="shared" si="123"/>
        <v>40</v>
      </c>
      <c r="AY51" s="84">
        <v>20</v>
      </c>
      <c r="AZ51" s="176"/>
      <c r="BA51" s="172"/>
      <c r="BB51" s="87"/>
      <c r="BC51" s="90"/>
      <c r="BD51" s="182" t="s">
        <v>95</v>
      </c>
      <c r="BE51" s="78"/>
      <c r="BF51" s="92">
        <f t="shared" si="114"/>
        <v>0</v>
      </c>
      <c r="BG51" s="268"/>
      <c r="BH51" s="95">
        <f t="shared" si="124"/>
        <v>0</v>
      </c>
      <c r="BI51" s="96">
        <f t="shared" si="125"/>
        <v>0</v>
      </c>
      <c r="BJ51" s="84"/>
      <c r="BK51" s="176"/>
      <c r="BL51" s="172"/>
      <c r="BM51" s="87"/>
      <c r="BN51" s="90"/>
      <c r="BO51" s="182"/>
      <c r="BP51" s="79"/>
      <c r="BQ51" s="92">
        <f t="shared" si="115"/>
        <v>0</v>
      </c>
      <c r="BR51" s="268"/>
      <c r="BS51" s="324">
        <f>BR51*$CN$11</f>
        <v>0</v>
      </c>
      <c r="BT51" s="96">
        <f t="shared" si="126"/>
        <v>0</v>
      </c>
      <c r="BU51" s="84"/>
      <c r="BV51" s="176"/>
      <c r="BW51" s="172"/>
      <c r="BX51" s="87"/>
      <c r="BY51" s="90"/>
      <c r="BZ51" s="182"/>
      <c r="CA51" s="79"/>
      <c r="CB51" s="92">
        <f>CD51+CI51+CJ51</f>
        <v>0</v>
      </c>
      <c r="CC51" s="268"/>
      <c r="CD51" s="95">
        <f t="shared" ref="CD51:CD53" si="132">CC51*$CN$12</f>
        <v>0</v>
      </c>
      <c r="CE51" s="96">
        <f t="shared" si="128"/>
        <v>0</v>
      </c>
      <c r="CF51" s="84"/>
      <c r="CG51" s="176"/>
      <c r="CH51" s="172"/>
      <c r="CI51" s="87"/>
      <c r="CJ51" s="90"/>
      <c r="CK51" s="182"/>
      <c r="CL51" s="139"/>
      <c r="CM51" s="14">
        <v>48</v>
      </c>
    </row>
    <row r="52" spans="1:91" ht="33" customHeight="1" x14ac:dyDescent="0.25">
      <c r="A52" s="6" t="s">
        <v>130</v>
      </c>
      <c r="B52" s="217" t="s">
        <v>291</v>
      </c>
      <c r="C52" s="238" t="s">
        <v>95</v>
      </c>
      <c r="D52" s="41">
        <f>N52+Y52+AJ52+AU52+BF52+BQ52+CB52</f>
        <v>36</v>
      </c>
      <c r="E52" s="49"/>
      <c r="F52" s="49">
        <f>P52+AA52+AL52+AW52+BH52+BS52+CD52</f>
        <v>36</v>
      </c>
      <c r="G52" s="49">
        <f>Q52+AB52+AM52+AX52+BI52+BT52+CE52</f>
        <v>36</v>
      </c>
      <c r="H52" s="49">
        <f>S52+AD52+AO52+AZ52+BK52+BV52+CG52</f>
        <v>0</v>
      </c>
      <c r="I52" s="49">
        <f>R52+AC52+AN52+AY52+BJ52+BU52+CF52</f>
        <v>0</v>
      </c>
      <c r="J52" s="49">
        <f>T52+AE52+AP52+BA52+BL52+BW52+CH52</f>
        <v>0</v>
      </c>
      <c r="K52" s="49">
        <f>U52+AF52+AQ52+BB52+BM52+BX52+CI52</f>
        <v>0</v>
      </c>
      <c r="L52" s="49">
        <f>V52+AG52+AR52+BC52+BN52+BY52+CJ52</f>
        <v>0</v>
      </c>
      <c r="M52" s="78"/>
      <c r="N52" s="92">
        <f>P52+U52+V52</f>
        <v>0</v>
      </c>
      <c r="O52" s="268"/>
      <c r="P52" s="95">
        <f t="shared" si="117"/>
        <v>0</v>
      </c>
      <c r="Q52" s="96">
        <f t="shared" si="118"/>
        <v>0</v>
      </c>
      <c r="R52" s="84"/>
      <c r="S52" s="176"/>
      <c r="T52" s="172"/>
      <c r="U52" s="87"/>
      <c r="V52" s="90"/>
      <c r="W52" s="182"/>
      <c r="X52" s="78"/>
      <c r="Y52" s="92">
        <f t="shared" si="111"/>
        <v>0</v>
      </c>
      <c r="Z52" s="268"/>
      <c r="AA52" s="95">
        <f t="shared" si="119"/>
        <v>0</v>
      </c>
      <c r="AB52" s="96">
        <f t="shared" si="120"/>
        <v>0</v>
      </c>
      <c r="AC52" s="84"/>
      <c r="AD52" s="176"/>
      <c r="AE52" s="172"/>
      <c r="AF52" s="87"/>
      <c r="AG52" s="90"/>
      <c r="AH52" s="182"/>
      <c r="AI52" s="78"/>
      <c r="AJ52" s="92">
        <f t="shared" si="112"/>
        <v>0</v>
      </c>
      <c r="AK52" s="268"/>
      <c r="AL52" s="95">
        <f t="shared" si="129"/>
        <v>0</v>
      </c>
      <c r="AM52" s="96">
        <f t="shared" si="121"/>
        <v>0</v>
      </c>
      <c r="AN52" s="84"/>
      <c r="AO52" s="176"/>
      <c r="AP52" s="172"/>
      <c r="AQ52" s="87"/>
      <c r="AR52" s="90"/>
      <c r="AS52" s="182"/>
      <c r="AT52" s="78"/>
      <c r="AU52" s="92">
        <f t="shared" si="113"/>
        <v>0</v>
      </c>
      <c r="AV52" s="268"/>
      <c r="AW52" s="95">
        <f t="shared" si="122"/>
        <v>0</v>
      </c>
      <c r="AX52" s="96">
        <f t="shared" si="123"/>
        <v>0</v>
      </c>
      <c r="AY52" s="84"/>
      <c r="AZ52" s="176"/>
      <c r="BA52" s="172"/>
      <c r="BB52" s="87"/>
      <c r="BC52" s="90"/>
      <c r="BD52" s="182"/>
      <c r="BE52" s="78"/>
      <c r="BF52" s="92">
        <f t="shared" si="114"/>
        <v>0</v>
      </c>
      <c r="BG52" s="268"/>
      <c r="BH52" s="95">
        <f t="shared" si="124"/>
        <v>0</v>
      </c>
      <c r="BI52" s="96">
        <f t="shared" si="125"/>
        <v>0</v>
      </c>
      <c r="BJ52" s="84"/>
      <c r="BK52" s="176"/>
      <c r="BL52" s="172"/>
      <c r="BM52" s="87"/>
      <c r="BN52" s="90"/>
      <c r="BO52" s="182"/>
      <c r="BP52" s="79"/>
      <c r="BQ52" s="92">
        <f t="shared" si="115"/>
        <v>36</v>
      </c>
      <c r="BR52" s="268">
        <f>BS52/$CN$11</f>
        <v>2</v>
      </c>
      <c r="BS52" s="324">
        <v>36</v>
      </c>
      <c r="BT52" s="96">
        <f t="shared" si="126"/>
        <v>36</v>
      </c>
      <c r="BU52" s="84"/>
      <c r="BV52" s="176"/>
      <c r="BW52" s="172"/>
      <c r="BX52" s="87"/>
      <c r="BY52" s="90"/>
      <c r="BZ52" s="182" t="s">
        <v>237</v>
      </c>
      <c r="CA52" s="78"/>
      <c r="CB52" s="92">
        <f>CD52+CI52+CJ52</f>
        <v>0</v>
      </c>
      <c r="CC52" s="268"/>
      <c r="CD52" s="95">
        <f t="shared" si="132"/>
        <v>0</v>
      </c>
      <c r="CE52" s="96">
        <f t="shared" si="128"/>
        <v>0</v>
      </c>
      <c r="CF52" s="84"/>
      <c r="CG52" s="176"/>
      <c r="CH52" s="172"/>
      <c r="CI52" s="87"/>
      <c r="CJ52" s="90"/>
      <c r="CK52" s="182"/>
      <c r="CL52" s="139"/>
      <c r="CM52" s="14">
        <v>36</v>
      </c>
    </row>
    <row r="53" spans="1:91" ht="30.75" customHeight="1" x14ac:dyDescent="0.25">
      <c r="A53" s="6" t="s">
        <v>134</v>
      </c>
      <c r="B53" s="221" t="s">
        <v>123</v>
      </c>
      <c r="C53" s="238" t="s">
        <v>95</v>
      </c>
      <c r="D53" s="41">
        <f>N53+Y53+AJ53+AU53+BF53+BQ53+CB53</f>
        <v>50</v>
      </c>
      <c r="E53" s="49"/>
      <c r="F53" s="49">
        <f>P53+AA53+AL53+AW53+BH53+BS53+CD53</f>
        <v>50</v>
      </c>
      <c r="G53" s="49">
        <f>Q53+AB53+AM53+AX53+BI53+BT53+CE53</f>
        <v>50</v>
      </c>
      <c r="H53" s="49">
        <f>S53+AD53+AO53+AZ53+BK53+BV53+CG53</f>
        <v>0</v>
      </c>
      <c r="I53" s="49">
        <f>R53+AC53+AN53+AY53+BJ53+BU53+CF53</f>
        <v>0</v>
      </c>
      <c r="J53" s="49">
        <f>T53+AE53+AP53+BA53+BL53+BW53+CH53</f>
        <v>0</v>
      </c>
      <c r="K53" s="49">
        <f>U53+AF53+AQ53+BB53+BM53+BX53+CI53</f>
        <v>0</v>
      </c>
      <c r="L53" s="49">
        <f>V53+AG53+AR53+BC53+BN53+BY53+CJ53</f>
        <v>0</v>
      </c>
      <c r="M53" s="78"/>
      <c r="N53" s="92">
        <f>P53+U53+V53</f>
        <v>0</v>
      </c>
      <c r="O53" s="268"/>
      <c r="P53" s="95">
        <f t="shared" si="117"/>
        <v>0</v>
      </c>
      <c r="Q53" s="96">
        <f t="shared" si="118"/>
        <v>0</v>
      </c>
      <c r="R53" s="84"/>
      <c r="S53" s="176"/>
      <c r="T53" s="172"/>
      <c r="U53" s="87"/>
      <c r="V53" s="90"/>
      <c r="W53" s="182"/>
      <c r="X53" s="78"/>
      <c r="Y53" s="92">
        <f t="shared" si="111"/>
        <v>0</v>
      </c>
      <c r="Z53" s="268"/>
      <c r="AA53" s="95">
        <f t="shared" si="119"/>
        <v>0</v>
      </c>
      <c r="AB53" s="96">
        <f t="shared" si="120"/>
        <v>0</v>
      </c>
      <c r="AC53" s="84"/>
      <c r="AD53" s="176"/>
      <c r="AE53" s="172"/>
      <c r="AF53" s="87"/>
      <c r="AG53" s="90"/>
      <c r="AH53" s="182"/>
      <c r="AI53" s="78"/>
      <c r="AJ53" s="92">
        <f t="shared" si="112"/>
        <v>0</v>
      </c>
      <c r="AK53" s="268"/>
      <c r="AL53" s="95">
        <f t="shared" si="129"/>
        <v>0</v>
      </c>
      <c r="AM53" s="96">
        <f t="shared" si="121"/>
        <v>0</v>
      </c>
      <c r="AN53" s="84"/>
      <c r="AO53" s="176"/>
      <c r="AP53" s="172"/>
      <c r="AQ53" s="87"/>
      <c r="AR53" s="90"/>
      <c r="AS53" s="182"/>
      <c r="AT53" s="78"/>
      <c r="AU53" s="92">
        <f t="shared" si="113"/>
        <v>0</v>
      </c>
      <c r="AV53" s="268"/>
      <c r="AW53" s="95">
        <f t="shared" si="122"/>
        <v>0</v>
      </c>
      <c r="AX53" s="96">
        <f t="shared" si="123"/>
        <v>0</v>
      </c>
      <c r="AY53" s="84"/>
      <c r="AZ53" s="176"/>
      <c r="BA53" s="172"/>
      <c r="BB53" s="87"/>
      <c r="BC53" s="90"/>
      <c r="BD53" s="182"/>
      <c r="BE53" s="78"/>
      <c r="BF53" s="92">
        <f t="shared" si="114"/>
        <v>0</v>
      </c>
      <c r="BG53" s="268"/>
      <c r="BH53" s="95">
        <f t="shared" si="124"/>
        <v>0</v>
      </c>
      <c r="BI53" s="96">
        <f t="shared" si="125"/>
        <v>0</v>
      </c>
      <c r="BJ53" s="84"/>
      <c r="BK53" s="176"/>
      <c r="BL53" s="172"/>
      <c r="BM53" s="87"/>
      <c r="BN53" s="90"/>
      <c r="BO53" s="182" t="s">
        <v>237</v>
      </c>
      <c r="BP53" s="79"/>
      <c r="BQ53" s="92">
        <f t="shared" si="115"/>
        <v>50</v>
      </c>
      <c r="BR53" s="268">
        <f>BS53/$CN$11</f>
        <v>2.7777777777777777</v>
      </c>
      <c r="BS53" s="324">
        <v>50</v>
      </c>
      <c r="BT53" s="96">
        <f t="shared" si="126"/>
        <v>50</v>
      </c>
      <c r="BU53" s="84"/>
      <c r="BV53" s="176"/>
      <c r="BW53" s="172"/>
      <c r="BX53" s="87"/>
      <c r="BY53" s="90"/>
      <c r="BZ53" s="182"/>
      <c r="CA53" s="78"/>
      <c r="CB53" s="92">
        <f>CD53+CI53+CJ53</f>
        <v>0</v>
      </c>
      <c r="CC53" s="268"/>
      <c r="CD53" s="95">
        <f t="shared" si="132"/>
        <v>0</v>
      </c>
      <c r="CE53" s="96">
        <f t="shared" si="128"/>
        <v>0</v>
      </c>
      <c r="CF53" s="84"/>
      <c r="CG53" s="176"/>
      <c r="CH53" s="172"/>
      <c r="CI53" s="87"/>
      <c r="CJ53" s="90"/>
      <c r="CK53" s="182"/>
      <c r="CL53" s="139"/>
    </row>
    <row r="54" spans="1:91" ht="3.75" customHeight="1" x14ac:dyDescent="0.25">
      <c r="A54" s="97"/>
      <c r="B54" s="222"/>
      <c r="C54" s="236"/>
      <c r="D54" s="98"/>
      <c r="E54" s="98"/>
      <c r="F54" s="98"/>
      <c r="G54" s="98"/>
      <c r="H54" s="98"/>
      <c r="I54" s="98"/>
      <c r="J54" s="98"/>
      <c r="K54" s="98"/>
      <c r="L54" s="98"/>
      <c r="M54" s="78"/>
      <c r="N54" s="77"/>
      <c r="O54" s="266"/>
      <c r="P54" s="77"/>
      <c r="Q54" s="77"/>
      <c r="R54" s="78"/>
      <c r="S54" s="78"/>
      <c r="T54" s="78"/>
      <c r="U54" s="78"/>
      <c r="V54" s="78"/>
      <c r="W54" s="78"/>
      <c r="X54" s="78"/>
      <c r="Y54" s="77"/>
      <c r="Z54" s="266"/>
      <c r="AA54" s="77"/>
      <c r="AB54" s="77"/>
      <c r="AC54" s="78"/>
      <c r="AD54" s="78"/>
      <c r="AE54" s="78"/>
      <c r="AF54" s="78"/>
      <c r="AG54" s="78"/>
      <c r="AH54" s="78"/>
      <c r="AI54" s="78"/>
      <c r="AJ54" s="77"/>
      <c r="AK54" s="266"/>
      <c r="AL54" s="77"/>
      <c r="AM54" s="77"/>
      <c r="AN54" s="78"/>
      <c r="AO54" s="78"/>
      <c r="AP54" s="78"/>
      <c r="AQ54" s="78"/>
      <c r="AR54" s="78"/>
      <c r="AS54" s="78"/>
      <c r="AT54" s="78"/>
      <c r="AU54" s="77"/>
      <c r="AV54" s="266"/>
      <c r="AW54" s="77"/>
      <c r="AX54" s="77"/>
      <c r="AY54" s="78"/>
      <c r="AZ54" s="78"/>
      <c r="BA54" s="78"/>
      <c r="BB54" s="78"/>
      <c r="BC54" s="78"/>
      <c r="BD54" s="78"/>
      <c r="BE54" s="78"/>
      <c r="BF54" s="77"/>
      <c r="BG54" s="266"/>
      <c r="BH54" s="77"/>
      <c r="BI54" s="77"/>
      <c r="BJ54" s="78"/>
      <c r="BK54" s="78"/>
      <c r="BL54" s="78"/>
      <c r="BM54" s="78"/>
      <c r="BN54" s="78"/>
      <c r="BO54" s="78"/>
      <c r="BP54" s="78"/>
      <c r="BQ54" s="77"/>
      <c r="BR54" s="266"/>
      <c r="BS54" s="293"/>
      <c r="BT54" s="77"/>
      <c r="BU54" s="78"/>
      <c r="BV54" s="78"/>
      <c r="BW54" s="78"/>
      <c r="BX54" s="78"/>
      <c r="BY54" s="78"/>
      <c r="BZ54" s="78"/>
      <c r="CA54" s="78"/>
      <c r="CB54" s="77"/>
      <c r="CC54" s="266"/>
      <c r="CD54" s="77"/>
      <c r="CE54" s="77"/>
      <c r="CF54" s="78"/>
      <c r="CG54" s="78"/>
      <c r="CH54" s="78"/>
      <c r="CI54" s="78"/>
      <c r="CJ54" s="78"/>
      <c r="CK54" s="78"/>
      <c r="CL54" s="139"/>
    </row>
    <row r="55" spans="1:91" ht="20.100000000000001" customHeight="1" x14ac:dyDescent="0.25">
      <c r="A55" s="110" t="s">
        <v>90</v>
      </c>
      <c r="B55" s="216" t="s">
        <v>20</v>
      </c>
      <c r="C55" s="245"/>
      <c r="D55" s="188">
        <f>N55+Y55+AJ55+AU55+BF55+BQ55+CB55</f>
        <v>2638</v>
      </c>
      <c r="E55" s="112"/>
      <c r="F55" s="112">
        <f>P55+AA55+AL55+AW55+BH55+BS55+CD55</f>
        <v>2500</v>
      </c>
      <c r="G55" s="112">
        <f>Q55+AB55+AM55+AX55+BI55+BT55+CE55</f>
        <v>1134</v>
      </c>
      <c r="H55" s="112">
        <f>S55+AD55+AO55+AZ55+BK55+BV55+CG55</f>
        <v>0</v>
      </c>
      <c r="I55" s="112">
        <f>R55+AC55+AN55+AY55+BJ55+BU55+CF55</f>
        <v>1294</v>
      </c>
      <c r="J55" s="112">
        <f>T55+AE55+AP55+BA55+BL55+BW55+CH55</f>
        <v>60</v>
      </c>
      <c r="K55" s="112">
        <f>U55+AF55+AQ55+BB55+BM55+BX55+CI55</f>
        <v>48</v>
      </c>
      <c r="L55" s="112">
        <f>V55+AG55+AR55+BC55+BN55+BY55+CJ55</f>
        <v>90</v>
      </c>
      <c r="M55" s="125"/>
      <c r="N55" s="113">
        <f t="shared" ref="N55:V55" si="133">N57+N65+N72+N82+N91</f>
        <v>0</v>
      </c>
      <c r="O55" s="273">
        <f t="shared" si="133"/>
        <v>0</v>
      </c>
      <c r="P55" s="113">
        <f t="shared" si="133"/>
        <v>0</v>
      </c>
      <c r="Q55" s="113">
        <f t="shared" si="133"/>
        <v>0</v>
      </c>
      <c r="R55" s="113">
        <f t="shared" si="133"/>
        <v>0</v>
      </c>
      <c r="S55" s="113">
        <f t="shared" si="133"/>
        <v>0</v>
      </c>
      <c r="T55" s="113">
        <f t="shared" si="133"/>
        <v>0</v>
      </c>
      <c r="U55" s="113">
        <f t="shared" si="133"/>
        <v>0</v>
      </c>
      <c r="V55" s="113">
        <f t="shared" si="133"/>
        <v>0</v>
      </c>
      <c r="W55" s="113"/>
      <c r="X55" s="125"/>
      <c r="Y55" s="113">
        <f t="shared" ref="Y55:AG55" si="134">Y57+Y65+Y72+Y82+Y91</f>
        <v>0</v>
      </c>
      <c r="Z55" s="273">
        <f t="shared" si="134"/>
        <v>0</v>
      </c>
      <c r="AA55" s="113">
        <f t="shared" si="134"/>
        <v>0</v>
      </c>
      <c r="AB55" s="113">
        <f t="shared" si="134"/>
        <v>0</v>
      </c>
      <c r="AC55" s="113">
        <f t="shared" si="134"/>
        <v>0</v>
      </c>
      <c r="AD55" s="113">
        <f t="shared" si="134"/>
        <v>0</v>
      </c>
      <c r="AE55" s="113">
        <f t="shared" si="134"/>
        <v>0</v>
      </c>
      <c r="AF55" s="113">
        <f t="shared" si="134"/>
        <v>0</v>
      </c>
      <c r="AG55" s="113">
        <f t="shared" si="134"/>
        <v>0</v>
      </c>
      <c r="AH55" s="113"/>
      <c r="AI55" s="125"/>
      <c r="AJ55" s="113">
        <f t="shared" ref="AJ55:AR55" si="135">AJ57+AJ65+AJ72+AJ82+AJ91</f>
        <v>236</v>
      </c>
      <c r="AK55" s="273">
        <f t="shared" si="135"/>
        <v>12.533333333333333</v>
      </c>
      <c r="AL55" s="113">
        <f t="shared" si="135"/>
        <v>224</v>
      </c>
      <c r="AM55" s="113">
        <f t="shared" si="135"/>
        <v>118</v>
      </c>
      <c r="AN55" s="113">
        <f t="shared" si="135"/>
        <v>106</v>
      </c>
      <c r="AO55" s="113">
        <f t="shared" si="135"/>
        <v>0</v>
      </c>
      <c r="AP55" s="113">
        <f t="shared" si="135"/>
        <v>0</v>
      </c>
      <c r="AQ55" s="113">
        <f t="shared" si="135"/>
        <v>2</v>
      </c>
      <c r="AR55" s="113">
        <f t="shared" si="135"/>
        <v>10</v>
      </c>
      <c r="AS55" s="113"/>
      <c r="AT55" s="120"/>
      <c r="AU55" s="113">
        <f t="shared" ref="AU55:BC55" si="136">AU57+AU65+AU72+AU82+AU91</f>
        <v>346</v>
      </c>
      <c r="AV55" s="273">
        <f t="shared" si="136"/>
        <v>11</v>
      </c>
      <c r="AW55" s="113">
        <f t="shared" si="136"/>
        <v>328</v>
      </c>
      <c r="AX55" s="113">
        <f t="shared" si="136"/>
        <v>130</v>
      </c>
      <c r="AY55" s="113">
        <f t="shared" si="136"/>
        <v>198</v>
      </c>
      <c r="AZ55" s="113">
        <f t="shared" si="136"/>
        <v>0</v>
      </c>
      <c r="BA55" s="113">
        <f t="shared" si="136"/>
        <v>0</v>
      </c>
      <c r="BB55" s="113">
        <f t="shared" si="136"/>
        <v>8</v>
      </c>
      <c r="BC55" s="113">
        <f t="shared" si="136"/>
        <v>10</v>
      </c>
      <c r="BD55" s="113"/>
      <c r="BE55" s="120"/>
      <c r="BF55" s="113">
        <f t="shared" ref="BF55:BN55" si="137">BF57+BF65+BF72+BF82+BF91</f>
        <v>564</v>
      </c>
      <c r="BG55" s="273">
        <f t="shared" si="137"/>
        <v>32</v>
      </c>
      <c r="BH55" s="113">
        <f t="shared" si="137"/>
        <v>528</v>
      </c>
      <c r="BI55" s="113">
        <f t="shared" si="137"/>
        <v>188</v>
      </c>
      <c r="BJ55" s="113">
        <f t="shared" si="137"/>
        <v>268</v>
      </c>
      <c r="BK55" s="113">
        <f t="shared" si="137"/>
        <v>0</v>
      </c>
      <c r="BL55" s="113">
        <f t="shared" si="137"/>
        <v>10</v>
      </c>
      <c r="BM55" s="113">
        <f t="shared" si="137"/>
        <v>12</v>
      </c>
      <c r="BN55" s="113">
        <f t="shared" si="137"/>
        <v>24</v>
      </c>
      <c r="BO55" s="113"/>
      <c r="BP55" s="125"/>
      <c r="BQ55" s="113">
        <f>BQ57+BQ65+BQ72+BQ82+BQ91</f>
        <v>616</v>
      </c>
      <c r="BR55" s="273">
        <f t="shared" ref="BR55:BY55" si="138">BR57+BR65+BR72+BR82+BR91</f>
        <v>20.222222222222221</v>
      </c>
      <c r="BS55" s="273">
        <f t="shared" si="138"/>
        <v>580</v>
      </c>
      <c r="BT55" s="113">
        <f t="shared" si="138"/>
        <v>296</v>
      </c>
      <c r="BU55" s="113">
        <f t="shared" si="138"/>
        <v>284</v>
      </c>
      <c r="BV55" s="113">
        <f t="shared" si="138"/>
        <v>0</v>
      </c>
      <c r="BW55" s="113">
        <f t="shared" si="138"/>
        <v>20</v>
      </c>
      <c r="BX55" s="113">
        <f t="shared" si="138"/>
        <v>14</v>
      </c>
      <c r="BY55" s="113">
        <f t="shared" si="138"/>
        <v>22</v>
      </c>
      <c r="BZ55" s="113"/>
      <c r="CA55" s="125"/>
      <c r="CB55" s="113">
        <f t="shared" ref="CB55:CJ55" si="139">CB57+CB65+CB72+CB82+CB91</f>
        <v>876</v>
      </c>
      <c r="CC55" s="273">
        <f t="shared" si="139"/>
        <v>21.882352941176471</v>
      </c>
      <c r="CD55" s="113">
        <f t="shared" si="139"/>
        <v>840</v>
      </c>
      <c r="CE55" s="113">
        <f t="shared" si="139"/>
        <v>402</v>
      </c>
      <c r="CF55" s="113">
        <f t="shared" si="139"/>
        <v>438</v>
      </c>
      <c r="CG55" s="113">
        <f t="shared" si="139"/>
        <v>0</v>
      </c>
      <c r="CH55" s="113">
        <f t="shared" si="139"/>
        <v>30</v>
      </c>
      <c r="CI55" s="113">
        <f t="shared" si="139"/>
        <v>12</v>
      </c>
      <c r="CJ55" s="113">
        <f t="shared" si="139"/>
        <v>24</v>
      </c>
      <c r="CK55" s="113"/>
      <c r="CL55" s="145"/>
      <c r="CM55" s="15">
        <v>1728</v>
      </c>
    </row>
    <row r="56" spans="1:91" ht="3.75" customHeight="1" x14ac:dyDescent="0.25">
      <c r="A56" s="100"/>
      <c r="B56" s="220"/>
      <c r="C56" s="243"/>
      <c r="D56" s="99"/>
      <c r="E56" s="99"/>
      <c r="F56" s="99"/>
      <c r="G56" s="99"/>
      <c r="H56" s="99"/>
      <c r="I56" s="99"/>
      <c r="J56" s="99"/>
      <c r="K56" s="99"/>
      <c r="L56" s="99"/>
      <c r="M56" s="79"/>
      <c r="N56" s="77"/>
      <c r="O56" s="272"/>
      <c r="P56" s="77"/>
      <c r="Q56" s="77"/>
      <c r="R56" s="77"/>
      <c r="S56" s="77"/>
      <c r="T56" s="77"/>
      <c r="U56" s="77"/>
      <c r="V56" s="79"/>
      <c r="W56" s="79"/>
      <c r="X56" s="79"/>
      <c r="Y56" s="77"/>
      <c r="Z56" s="272"/>
      <c r="AA56" s="77"/>
      <c r="AB56" s="77"/>
      <c r="AC56" s="79"/>
      <c r="AD56" s="77"/>
      <c r="AE56" s="77"/>
      <c r="AF56" s="79"/>
      <c r="AG56" s="79"/>
      <c r="AH56" s="79"/>
      <c r="AI56" s="79"/>
      <c r="AJ56" s="77"/>
      <c r="AK56" s="272"/>
      <c r="AL56" s="77"/>
      <c r="AM56" s="77"/>
      <c r="AN56" s="79"/>
      <c r="AO56" s="77"/>
      <c r="AP56" s="77"/>
      <c r="AQ56" s="79"/>
      <c r="AR56" s="79"/>
      <c r="AS56" s="79"/>
      <c r="AT56" s="79"/>
      <c r="AU56" s="77"/>
      <c r="AV56" s="272"/>
      <c r="AW56" s="77"/>
      <c r="AX56" s="77"/>
      <c r="AY56" s="79"/>
      <c r="AZ56" s="77"/>
      <c r="BA56" s="77"/>
      <c r="BB56" s="79"/>
      <c r="BC56" s="79"/>
      <c r="BD56" s="79"/>
      <c r="BE56" s="79"/>
      <c r="BF56" s="77"/>
      <c r="BG56" s="272"/>
      <c r="BH56" s="77"/>
      <c r="BI56" s="77"/>
      <c r="BJ56" s="79"/>
      <c r="BK56" s="77"/>
      <c r="BL56" s="77"/>
      <c r="BM56" s="79"/>
      <c r="BN56" s="79"/>
      <c r="BO56" s="79"/>
      <c r="BP56" s="79"/>
      <c r="BQ56" s="77"/>
      <c r="BR56" s="272"/>
      <c r="BS56" s="293"/>
      <c r="BT56" s="77"/>
      <c r="BU56" s="79"/>
      <c r="BV56" s="77"/>
      <c r="BW56" s="77"/>
      <c r="BX56" s="79"/>
      <c r="BY56" s="79"/>
      <c r="BZ56" s="79"/>
      <c r="CA56" s="79"/>
      <c r="CB56" s="77"/>
      <c r="CC56" s="272"/>
      <c r="CD56" s="77"/>
      <c r="CE56" s="77"/>
      <c r="CF56" s="79"/>
      <c r="CG56" s="77"/>
      <c r="CH56" s="77"/>
      <c r="CI56" s="79"/>
      <c r="CJ56" s="79"/>
      <c r="CK56" s="79"/>
      <c r="CL56" s="140"/>
    </row>
    <row r="57" spans="1:91" ht="51.75" customHeight="1" x14ac:dyDescent="0.25">
      <c r="A57" s="110" t="s">
        <v>92</v>
      </c>
      <c r="B57" s="216" t="s">
        <v>236</v>
      </c>
      <c r="C57" s="246" t="s">
        <v>288</v>
      </c>
      <c r="D57" s="188">
        <f>N57+Y57+AJ57+AU57+BF57+BQ57+CB57</f>
        <v>489</v>
      </c>
      <c r="E57" s="112"/>
      <c r="F57" s="112">
        <f>P57+AA57+AL57+AW57+BH57+BS57+CD57</f>
        <v>459</v>
      </c>
      <c r="G57" s="112">
        <f>Q57+AB57+AM57+AX57+BI57+BT57+CE57</f>
        <v>185</v>
      </c>
      <c r="H57" s="112">
        <f>S57+AD57+AO57+AZ57+BK57+BV57+CG57</f>
        <v>0</v>
      </c>
      <c r="I57" s="112">
        <f>R57+AC57+AN57+AY57+BJ57+BU57+CF57</f>
        <v>274</v>
      </c>
      <c r="J57" s="112">
        <f>T57+AE57+AP57+BA57+BL57+BW57+CH57</f>
        <v>0</v>
      </c>
      <c r="K57" s="112">
        <f>U57+AF57+AQ57+BB57+BM57+BX57+CI57</f>
        <v>10</v>
      </c>
      <c r="L57" s="112">
        <f>V57+AG57+AR57+BC57+BN57+BY57+CJ57</f>
        <v>20</v>
      </c>
      <c r="M57" s="79"/>
      <c r="N57" s="112">
        <f t="shared" ref="N57:V57" si="140">SUM(N58:N63)</f>
        <v>0</v>
      </c>
      <c r="O57" s="274">
        <f t="shared" si="140"/>
        <v>0</v>
      </c>
      <c r="P57" s="112">
        <f t="shared" si="140"/>
        <v>0</v>
      </c>
      <c r="Q57" s="112">
        <f t="shared" si="140"/>
        <v>0</v>
      </c>
      <c r="R57" s="112">
        <f t="shared" si="140"/>
        <v>0</v>
      </c>
      <c r="S57" s="112">
        <f t="shared" si="140"/>
        <v>0</v>
      </c>
      <c r="T57" s="112">
        <f t="shared" si="140"/>
        <v>0</v>
      </c>
      <c r="U57" s="112">
        <f t="shared" si="140"/>
        <v>0</v>
      </c>
      <c r="V57" s="111">
        <f t="shared" si="140"/>
        <v>0</v>
      </c>
      <c r="W57" s="111"/>
      <c r="X57" s="79"/>
      <c r="Y57" s="112">
        <f t="shared" ref="Y57:AG57" si="141">SUM(Y58:Y63)</f>
        <v>0</v>
      </c>
      <c r="Z57" s="274">
        <f t="shared" si="141"/>
        <v>0</v>
      </c>
      <c r="AA57" s="112">
        <f t="shared" si="141"/>
        <v>0</v>
      </c>
      <c r="AB57" s="112">
        <f t="shared" si="141"/>
        <v>0</v>
      </c>
      <c r="AC57" s="111">
        <f t="shared" si="141"/>
        <v>0</v>
      </c>
      <c r="AD57" s="112">
        <f t="shared" si="141"/>
        <v>0</v>
      </c>
      <c r="AE57" s="112">
        <f t="shared" si="141"/>
        <v>0</v>
      </c>
      <c r="AF57" s="111">
        <f t="shared" si="141"/>
        <v>0</v>
      </c>
      <c r="AG57" s="111">
        <f t="shared" si="141"/>
        <v>0</v>
      </c>
      <c r="AH57" s="111"/>
      <c r="AI57" s="79"/>
      <c r="AJ57" s="112">
        <f t="shared" ref="AJ57:AR57" si="142">SUM(AJ58:AJ63)</f>
        <v>183</v>
      </c>
      <c r="AK57" s="274">
        <f t="shared" si="142"/>
        <v>9</v>
      </c>
      <c r="AL57" s="112">
        <f t="shared" si="142"/>
        <v>171</v>
      </c>
      <c r="AM57" s="112">
        <f t="shared" si="142"/>
        <v>75</v>
      </c>
      <c r="AN57" s="111">
        <f t="shared" si="142"/>
        <v>96</v>
      </c>
      <c r="AO57" s="112">
        <f t="shared" si="142"/>
        <v>0</v>
      </c>
      <c r="AP57" s="112">
        <f t="shared" si="142"/>
        <v>0</v>
      </c>
      <c r="AQ57" s="111">
        <f t="shared" si="142"/>
        <v>2</v>
      </c>
      <c r="AR57" s="111">
        <f t="shared" si="142"/>
        <v>10</v>
      </c>
      <c r="AS57" s="111"/>
      <c r="AT57" s="79"/>
      <c r="AU57" s="112">
        <f t="shared" ref="AU57:BC57" si="143">SUM(AU58:AU63)</f>
        <v>306</v>
      </c>
      <c r="AV57" s="274">
        <f t="shared" si="143"/>
        <v>9</v>
      </c>
      <c r="AW57" s="112">
        <f t="shared" si="143"/>
        <v>288</v>
      </c>
      <c r="AX57" s="112">
        <f t="shared" si="143"/>
        <v>110</v>
      </c>
      <c r="AY57" s="111">
        <f t="shared" si="143"/>
        <v>178</v>
      </c>
      <c r="AZ57" s="112">
        <f t="shared" si="143"/>
        <v>0</v>
      </c>
      <c r="BA57" s="112">
        <f t="shared" si="143"/>
        <v>0</v>
      </c>
      <c r="BB57" s="111">
        <f t="shared" si="143"/>
        <v>8</v>
      </c>
      <c r="BC57" s="111">
        <f t="shared" si="143"/>
        <v>10</v>
      </c>
      <c r="BD57" s="187"/>
      <c r="BE57" s="79"/>
      <c r="BF57" s="112">
        <f t="shared" ref="BF57:BN57" si="144">SUM(BF58:BF63)</f>
        <v>0</v>
      </c>
      <c r="BG57" s="274">
        <f t="shared" si="144"/>
        <v>0</v>
      </c>
      <c r="BH57" s="112">
        <f t="shared" si="144"/>
        <v>0</v>
      </c>
      <c r="BI57" s="112">
        <f t="shared" si="144"/>
        <v>0</v>
      </c>
      <c r="BJ57" s="111">
        <f t="shared" si="144"/>
        <v>0</v>
      </c>
      <c r="BK57" s="112">
        <f t="shared" si="144"/>
        <v>0</v>
      </c>
      <c r="BL57" s="112">
        <f t="shared" si="144"/>
        <v>0</v>
      </c>
      <c r="BM57" s="111">
        <f t="shared" si="144"/>
        <v>0</v>
      </c>
      <c r="BN57" s="111">
        <f t="shared" si="144"/>
        <v>0</v>
      </c>
      <c r="BO57" s="111"/>
      <c r="BP57" s="79"/>
      <c r="BQ57" s="112">
        <f t="shared" ref="BQ57:BY57" si="145">SUM(BQ58:BQ63)</f>
        <v>0</v>
      </c>
      <c r="BR57" s="274">
        <f t="shared" si="145"/>
        <v>0</v>
      </c>
      <c r="BS57" s="267">
        <f t="shared" si="145"/>
        <v>0</v>
      </c>
      <c r="BT57" s="112">
        <f t="shared" si="145"/>
        <v>0</v>
      </c>
      <c r="BU57" s="111">
        <f t="shared" si="145"/>
        <v>0</v>
      </c>
      <c r="BV57" s="112">
        <f t="shared" si="145"/>
        <v>0</v>
      </c>
      <c r="BW57" s="112">
        <f t="shared" si="145"/>
        <v>0</v>
      </c>
      <c r="BX57" s="111">
        <f t="shared" si="145"/>
        <v>0</v>
      </c>
      <c r="BY57" s="111">
        <f t="shared" si="145"/>
        <v>0</v>
      </c>
      <c r="BZ57" s="111"/>
      <c r="CA57" s="79"/>
      <c r="CB57" s="112">
        <f t="shared" ref="CB57:CJ57" si="146">SUM(CB58:CB63)</f>
        <v>0</v>
      </c>
      <c r="CC57" s="274">
        <f t="shared" si="146"/>
        <v>0</v>
      </c>
      <c r="CD57" s="112">
        <f t="shared" si="146"/>
        <v>0</v>
      </c>
      <c r="CE57" s="112">
        <f t="shared" si="146"/>
        <v>0</v>
      </c>
      <c r="CF57" s="111">
        <f t="shared" si="146"/>
        <v>0</v>
      </c>
      <c r="CG57" s="112">
        <f t="shared" si="146"/>
        <v>0</v>
      </c>
      <c r="CH57" s="112">
        <f t="shared" si="146"/>
        <v>0</v>
      </c>
      <c r="CI57" s="111">
        <f t="shared" si="146"/>
        <v>0</v>
      </c>
      <c r="CJ57" s="111">
        <f t="shared" si="146"/>
        <v>0</v>
      </c>
      <c r="CK57" s="111"/>
      <c r="CL57" s="140"/>
    </row>
    <row r="58" spans="1:91" ht="33.75" customHeight="1" x14ac:dyDescent="0.25">
      <c r="A58" s="6" t="s">
        <v>93</v>
      </c>
      <c r="B58" s="322" t="s">
        <v>111</v>
      </c>
      <c r="C58" s="311" t="s">
        <v>82</v>
      </c>
      <c r="D58" s="193">
        <f>N58+Y58+AJ58+AU58+BF58+BQ58+CB58</f>
        <v>72</v>
      </c>
      <c r="E58" s="49"/>
      <c r="F58" s="49">
        <f>P58+AA58+AL58+AW58+BH58+BS58+CD58</f>
        <v>60</v>
      </c>
      <c r="G58" s="49">
        <f>Q58+AB58+AM58+AX58+BI58+BT58+CE58</f>
        <v>30</v>
      </c>
      <c r="H58" s="49">
        <f>S58+AD58+AO58+AZ58+BK58+BV58+CG58</f>
        <v>0</v>
      </c>
      <c r="I58" s="49">
        <f>R58+AC58+AN58+AY58+BJ58+BU58+CF58</f>
        <v>30</v>
      </c>
      <c r="J58" s="49">
        <f>T58+AE58+AP58+BA58+BL58+BW58+CH58</f>
        <v>0</v>
      </c>
      <c r="K58" s="49">
        <f>U58+AF58+AQ58+BB58+BM58+BX58+CI58</f>
        <v>2</v>
      </c>
      <c r="L58" s="49">
        <f>V58+AG58+AR58+BC58+BN58+BY58+CJ58</f>
        <v>10</v>
      </c>
      <c r="M58" s="78"/>
      <c r="N58" s="92">
        <f>P58+U58+V58</f>
        <v>0</v>
      </c>
      <c r="O58" s="268"/>
      <c r="P58" s="95">
        <f>O58*$CN$9</f>
        <v>0</v>
      </c>
      <c r="Q58" s="96">
        <f>P58-R58</f>
        <v>0</v>
      </c>
      <c r="R58" s="84"/>
      <c r="S58" s="176"/>
      <c r="T58" s="172"/>
      <c r="U58" s="87"/>
      <c r="V58" s="90"/>
      <c r="W58" s="182"/>
      <c r="X58" s="78"/>
      <c r="Y58" s="92">
        <f>AA58+AF58+AG58</f>
        <v>0</v>
      </c>
      <c r="Z58" s="268"/>
      <c r="AA58" s="95">
        <f>Z58*$CN$9</f>
        <v>0</v>
      </c>
      <c r="AB58" s="96">
        <f>AA58-AC58</f>
        <v>0</v>
      </c>
      <c r="AC58" s="84"/>
      <c r="AD58" s="176"/>
      <c r="AE58" s="172"/>
      <c r="AF58" s="87"/>
      <c r="AG58" s="90"/>
      <c r="AH58" s="182"/>
      <c r="AI58" s="78"/>
      <c r="AJ58" s="92">
        <f>AL58+AQ58+AR58</f>
        <v>72</v>
      </c>
      <c r="AK58" s="268">
        <v>4</v>
      </c>
      <c r="AL58" s="95">
        <f>AK58*$CN$8</f>
        <v>60</v>
      </c>
      <c r="AM58" s="96">
        <f>AL58-AN58</f>
        <v>30</v>
      </c>
      <c r="AN58" s="84">
        <v>30</v>
      </c>
      <c r="AO58" s="176"/>
      <c r="AP58" s="172"/>
      <c r="AQ58" s="87">
        <v>2</v>
      </c>
      <c r="AR58" s="90">
        <v>10</v>
      </c>
      <c r="AS58" s="182" t="s">
        <v>82</v>
      </c>
      <c r="AT58" s="78"/>
      <c r="AU58" s="92">
        <f>AW58+BB58+BC58</f>
        <v>0</v>
      </c>
      <c r="AV58" s="268"/>
      <c r="AW58" s="95">
        <f>AV58*$CN$9</f>
        <v>0</v>
      </c>
      <c r="AX58" s="96">
        <f>AW58-AY58</f>
        <v>0</v>
      </c>
      <c r="AY58" s="84"/>
      <c r="AZ58" s="176"/>
      <c r="BA58" s="172"/>
      <c r="BB58" s="87"/>
      <c r="BC58" s="185"/>
      <c r="BD58" s="192"/>
      <c r="BE58" s="186"/>
      <c r="BF58" s="92">
        <f>BH58+BM58+BN58</f>
        <v>0</v>
      </c>
      <c r="BG58" s="268"/>
      <c r="BH58" s="95">
        <f>BG58*$CN$10</f>
        <v>0</v>
      </c>
      <c r="BI58" s="96">
        <f>BH58-BJ58</f>
        <v>0</v>
      </c>
      <c r="BJ58" s="84"/>
      <c r="BK58" s="176"/>
      <c r="BL58" s="172"/>
      <c r="BM58" s="87"/>
      <c r="BN58" s="90"/>
      <c r="BO58" s="182"/>
      <c r="BP58" s="78"/>
      <c r="BQ58" s="92">
        <f>BS58+BX58+BY58</f>
        <v>0</v>
      </c>
      <c r="BR58" s="268"/>
      <c r="BS58" s="324">
        <f>BR58*$CN$11</f>
        <v>0</v>
      </c>
      <c r="BT58" s="96">
        <f>BS58-BU58</f>
        <v>0</v>
      </c>
      <c r="BU58" s="84"/>
      <c r="BV58" s="176"/>
      <c r="BW58" s="172"/>
      <c r="BX58" s="87"/>
      <c r="BY58" s="90"/>
      <c r="BZ58" s="182"/>
      <c r="CA58" s="78"/>
      <c r="CB58" s="92">
        <f>CD58+CI58+CJ58</f>
        <v>0</v>
      </c>
      <c r="CC58" s="268"/>
      <c r="CD58" s="95">
        <f>CC58*$CN$12</f>
        <v>0</v>
      </c>
      <c r="CE58" s="96">
        <f>CD58-CF58</f>
        <v>0</v>
      </c>
      <c r="CF58" s="84"/>
      <c r="CG58" s="176"/>
      <c r="CH58" s="172"/>
      <c r="CI58" s="87"/>
      <c r="CJ58" s="90"/>
      <c r="CK58" s="182"/>
      <c r="CL58" s="139"/>
      <c r="CM58" s="14">
        <v>42</v>
      </c>
    </row>
    <row r="59" spans="1:91" ht="49.5" customHeight="1" x14ac:dyDescent="0.25">
      <c r="A59" s="6" t="s">
        <v>94</v>
      </c>
      <c r="B59" s="322" t="s">
        <v>112</v>
      </c>
      <c r="C59" s="455" t="s">
        <v>82</v>
      </c>
      <c r="D59" s="193">
        <f>N59+Y59+AJ59+AU59+BF59+BQ59+CB59</f>
        <v>228</v>
      </c>
      <c r="E59" s="49"/>
      <c r="F59" s="49">
        <f>P59+AA59+AL59+AW59+BH59+BS59+CD59</f>
        <v>223</v>
      </c>
      <c r="G59" s="49">
        <f>Q59+AB59+AM59+AX59+BI59+BT59+CE59</f>
        <v>123</v>
      </c>
      <c r="H59" s="49">
        <f>S59+AD59+AO59+AZ59+BK59+BV59+CG59</f>
        <v>0</v>
      </c>
      <c r="I59" s="49">
        <f>R59+AC59+AN59+AY59+BJ59+BU59+CF59</f>
        <v>100</v>
      </c>
      <c r="J59" s="49">
        <f>T59+AE59+AP59+BA59+BL59+BW59+CH59</f>
        <v>0</v>
      </c>
      <c r="K59" s="49">
        <f>U59+AF59+AQ59+BB59+BM59+BX59+CI59</f>
        <v>2</v>
      </c>
      <c r="L59" s="49">
        <f>V59+AG59+AR59+BC59+BN59+BY59+CJ59</f>
        <v>3</v>
      </c>
      <c r="M59" s="78"/>
      <c r="N59" s="92">
        <f>P59+U59+V59</f>
        <v>0</v>
      </c>
      <c r="O59" s="268"/>
      <c r="P59" s="95">
        <f t="shared" ref="P59:P63" si="147">O59*$CN$9</f>
        <v>0</v>
      </c>
      <c r="Q59" s="96">
        <f t="shared" ref="Q59:Q63" si="148">P59-R59</f>
        <v>0</v>
      </c>
      <c r="R59" s="84"/>
      <c r="S59" s="176"/>
      <c r="T59" s="172"/>
      <c r="U59" s="87"/>
      <c r="V59" s="90"/>
      <c r="W59" s="182"/>
      <c r="X59" s="78"/>
      <c r="Y59" s="92">
        <f>AA59+AF59+AG59</f>
        <v>0</v>
      </c>
      <c r="Z59" s="268"/>
      <c r="AA59" s="95">
        <f t="shared" ref="AA59:AA63" si="149">Z59*$CN$9</f>
        <v>0</v>
      </c>
      <c r="AB59" s="96">
        <f t="shared" ref="AB59:AB63" si="150">AA59-AC59</f>
        <v>0</v>
      </c>
      <c r="AC59" s="84"/>
      <c r="AD59" s="176"/>
      <c r="AE59" s="172"/>
      <c r="AF59" s="87"/>
      <c r="AG59" s="90"/>
      <c r="AH59" s="182"/>
      <c r="AI59" s="78"/>
      <c r="AJ59" s="92">
        <f>AL59+AQ59+AR59</f>
        <v>75</v>
      </c>
      <c r="AK59" s="268">
        <v>5</v>
      </c>
      <c r="AL59" s="95">
        <f t="shared" ref="AL59:AL60" si="151">AK59*$CN$8</f>
        <v>75</v>
      </c>
      <c r="AM59" s="96">
        <f t="shared" ref="AM59:AM63" si="152">AL59-AN59</f>
        <v>45</v>
      </c>
      <c r="AN59" s="84">
        <v>30</v>
      </c>
      <c r="AO59" s="176"/>
      <c r="AP59" s="172"/>
      <c r="AQ59" s="87"/>
      <c r="AR59" s="90"/>
      <c r="AS59" s="182" t="s">
        <v>237</v>
      </c>
      <c r="AT59" s="78"/>
      <c r="AU59" s="92">
        <f>AW59+BB59+BC59</f>
        <v>153</v>
      </c>
      <c r="AV59" s="268">
        <f>AW59/20</f>
        <v>7.4</v>
      </c>
      <c r="AW59" s="95">
        <v>148</v>
      </c>
      <c r="AX59" s="96">
        <f t="shared" ref="AX59:AX63" si="153">AW59-AY59</f>
        <v>78</v>
      </c>
      <c r="AY59" s="84">
        <v>70</v>
      </c>
      <c r="AZ59" s="176"/>
      <c r="BA59" s="172"/>
      <c r="BB59" s="87">
        <v>2</v>
      </c>
      <c r="BC59" s="185">
        <v>3</v>
      </c>
      <c r="BD59" s="457" t="s">
        <v>82</v>
      </c>
      <c r="BE59" s="186"/>
      <c r="BF59" s="92">
        <f>BH59+BM59+BN59</f>
        <v>0</v>
      </c>
      <c r="BG59" s="268"/>
      <c r="BH59" s="95">
        <f t="shared" ref="BH59:BH63" si="154">BG59*$CN$10</f>
        <v>0</v>
      </c>
      <c r="BI59" s="96">
        <f t="shared" ref="BI59:BI63" si="155">BH59-BJ59</f>
        <v>0</v>
      </c>
      <c r="BJ59" s="84"/>
      <c r="BK59" s="176"/>
      <c r="BL59" s="172"/>
      <c r="BM59" s="87"/>
      <c r="BN59" s="90"/>
      <c r="BO59" s="182"/>
      <c r="BP59" s="78"/>
      <c r="BQ59" s="92">
        <f>BS59+BX59+BY59</f>
        <v>0</v>
      </c>
      <c r="BR59" s="268"/>
      <c r="BS59" s="324">
        <f t="shared" ref="BS59:BS63" si="156">BR59*$CN$11</f>
        <v>0</v>
      </c>
      <c r="BT59" s="96">
        <f t="shared" ref="BT59:BT63" si="157">BS59-BU59</f>
        <v>0</v>
      </c>
      <c r="BU59" s="84"/>
      <c r="BV59" s="176"/>
      <c r="BW59" s="172"/>
      <c r="BX59" s="87"/>
      <c r="BY59" s="90"/>
      <c r="BZ59" s="182"/>
      <c r="CA59" s="78"/>
      <c r="CB59" s="92">
        <f>CD59+CI59+CJ59</f>
        <v>0</v>
      </c>
      <c r="CC59" s="268"/>
      <c r="CD59" s="95">
        <f t="shared" ref="CD59:CD63" si="158">CC59*$CN$12</f>
        <v>0</v>
      </c>
      <c r="CE59" s="96">
        <f t="shared" ref="CE59:CE63" si="159">CD59-CF59</f>
        <v>0</v>
      </c>
      <c r="CF59" s="84"/>
      <c r="CG59" s="176"/>
      <c r="CH59" s="172"/>
      <c r="CI59" s="87"/>
      <c r="CJ59" s="90"/>
      <c r="CK59" s="182"/>
      <c r="CL59" s="139"/>
      <c r="CM59" s="14">
        <v>52</v>
      </c>
    </row>
    <row r="60" spans="1:91" ht="21" customHeight="1" x14ac:dyDescent="0.25">
      <c r="A60" s="6" t="s">
        <v>135</v>
      </c>
      <c r="B60" s="322" t="s">
        <v>113</v>
      </c>
      <c r="C60" s="456"/>
      <c r="D60" s="193">
        <f>N60+Y60+AJ60+AU60+BF60+BQ60+CB60</f>
        <v>37</v>
      </c>
      <c r="E60" s="49"/>
      <c r="F60" s="49">
        <f>P60+AA60+AL60+AW60+BH60+BS60+CD60</f>
        <v>32</v>
      </c>
      <c r="G60" s="49">
        <f>Q60+AB60+AM60+AX60+BI60+BT60+CE60</f>
        <v>32</v>
      </c>
      <c r="H60" s="49">
        <f>S60+AD60+AO60+AZ60+BK60+BV60+CG60</f>
        <v>0</v>
      </c>
      <c r="I60" s="49">
        <f>R60+AC60+AN60+AY60+BJ60+BU60+CF60</f>
        <v>0</v>
      </c>
      <c r="J60" s="49">
        <f>T60+AE60+AP60+BA60+BL60+BW60+CH60</f>
        <v>0</v>
      </c>
      <c r="K60" s="49">
        <f>U60+AF60+AQ60+BB60+BM60+BX60+CI60</f>
        <v>2</v>
      </c>
      <c r="L60" s="49">
        <f>V60+AG60+AR60+BC60+BN60+BY60+CJ60</f>
        <v>3</v>
      </c>
      <c r="M60" s="78"/>
      <c r="N60" s="92">
        <f>P60+U60+V60</f>
        <v>0</v>
      </c>
      <c r="O60" s="268"/>
      <c r="P60" s="95">
        <f t="shared" si="147"/>
        <v>0</v>
      </c>
      <c r="Q60" s="96">
        <f t="shared" si="148"/>
        <v>0</v>
      </c>
      <c r="R60" s="84"/>
      <c r="S60" s="176"/>
      <c r="T60" s="172"/>
      <c r="U60" s="87"/>
      <c r="V60" s="90"/>
      <c r="W60" s="182"/>
      <c r="X60" s="78"/>
      <c r="Y60" s="92">
        <f>AA60+AF60+AG60</f>
        <v>0</v>
      </c>
      <c r="Z60" s="268"/>
      <c r="AA60" s="95">
        <f t="shared" si="149"/>
        <v>0</v>
      </c>
      <c r="AB60" s="96">
        <f t="shared" si="150"/>
        <v>0</v>
      </c>
      <c r="AC60" s="84"/>
      <c r="AD60" s="176"/>
      <c r="AE60" s="172"/>
      <c r="AF60" s="87"/>
      <c r="AG60" s="90"/>
      <c r="AH60" s="182"/>
      <c r="AI60" s="78"/>
      <c r="AJ60" s="92">
        <f>AL60+AQ60+AR60</f>
        <v>0</v>
      </c>
      <c r="AK60" s="268"/>
      <c r="AL60" s="95">
        <f t="shared" si="151"/>
        <v>0</v>
      </c>
      <c r="AM60" s="96">
        <f t="shared" si="152"/>
        <v>0</v>
      </c>
      <c r="AN60" s="84"/>
      <c r="AO60" s="176"/>
      <c r="AP60" s="172"/>
      <c r="AQ60" s="87"/>
      <c r="AR60" s="90"/>
      <c r="AS60" s="182"/>
      <c r="AT60" s="78"/>
      <c r="AU60" s="92">
        <f>AW60+BB60+BC60</f>
        <v>37</v>
      </c>
      <c r="AV60" s="268">
        <f>AW60/20</f>
        <v>1.6</v>
      </c>
      <c r="AW60" s="95">
        <v>32</v>
      </c>
      <c r="AX60" s="96">
        <f t="shared" si="153"/>
        <v>32</v>
      </c>
      <c r="AY60" s="84"/>
      <c r="AZ60" s="176"/>
      <c r="BA60" s="172"/>
      <c r="BB60" s="87">
        <v>2</v>
      </c>
      <c r="BC60" s="185">
        <v>3</v>
      </c>
      <c r="BD60" s="458"/>
      <c r="BE60" s="186"/>
      <c r="BF60" s="92">
        <f>BH60+BM60+BN60</f>
        <v>0</v>
      </c>
      <c r="BG60" s="268"/>
      <c r="BH60" s="95">
        <f t="shared" si="154"/>
        <v>0</v>
      </c>
      <c r="BI60" s="96">
        <f t="shared" si="155"/>
        <v>0</v>
      </c>
      <c r="BJ60" s="84"/>
      <c r="BK60" s="176"/>
      <c r="BL60" s="172"/>
      <c r="BM60" s="87"/>
      <c r="BN60" s="90"/>
      <c r="BO60" s="182"/>
      <c r="BP60" s="78"/>
      <c r="BQ60" s="92">
        <f>BS60+BX60+BY60</f>
        <v>0</v>
      </c>
      <c r="BR60" s="268"/>
      <c r="BS60" s="324">
        <f t="shared" si="156"/>
        <v>0</v>
      </c>
      <c r="BT60" s="96">
        <f t="shared" si="157"/>
        <v>0</v>
      </c>
      <c r="BU60" s="84"/>
      <c r="BV60" s="176"/>
      <c r="BW60" s="172"/>
      <c r="BX60" s="87"/>
      <c r="BY60" s="90"/>
      <c r="BZ60" s="182"/>
      <c r="CA60" s="78"/>
      <c r="CB60" s="92">
        <f>CD60+CI60+CJ60</f>
        <v>0</v>
      </c>
      <c r="CC60" s="268"/>
      <c r="CD60" s="95">
        <f t="shared" si="158"/>
        <v>0</v>
      </c>
      <c r="CE60" s="96">
        <f t="shared" si="159"/>
        <v>0</v>
      </c>
      <c r="CF60" s="84"/>
      <c r="CG60" s="176"/>
      <c r="CH60" s="172"/>
      <c r="CI60" s="87"/>
      <c r="CJ60" s="90"/>
      <c r="CK60" s="182"/>
      <c r="CL60" s="139"/>
      <c r="CM60" s="14">
        <v>32</v>
      </c>
    </row>
    <row r="61" spans="1:91" ht="21" customHeight="1" x14ac:dyDescent="0.25">
      <c r="A61" s="6" t="s">
        <v>136</v>
      </c>
      <c r="B61" s="217" t="s">
        <v>29</v>
      </c>
      <c r="C61" s="315" t="s">
        <v>91</v>
      </c>
      <c r="D61" s="41">
        <f>N61+Y61+AJ61+AU61+BF61+BQ61+CB61</f>
        <v>144</v>
      </c>
      <c r="E61" s="49"/>
      <c r="F61" s="49">
        <f>P61+AA61+AL61+AW61+BH61+BS61+CD61</f>
        <v>144</v>
      </c>
      <c r="G61" s="49">
        <f>Q61+AB61+AM61+AX61+BI61+BT61+CE61</f>
        <v>0</v>
      </c>
      <c r="H61" s="49">
        <f>S61+AD61+AO61+AZ61+BK61+BV61+CG61</f>
        <v>0</v>
      </c>
      <c r="I61" s="49">
        <f>R61+AC61+AN61+AY61+BJ61+BU61+CF61</f>
        <v>144</v>
      </c>
      <c r="J61" s="49">
        <f>T61+AE61+AP61+BA61+BL61+BW61+CH61</f>
        <v>0</v>
      </c>
      <c r="K61" s="49">
        <f>U61+AF61+AQ61+BB61+BM61+BX61+CI61</f>
        <v>0</v>
      </c>
      <c r="L61" s="49">
        <f>V61+AG61+AR61+BC61+BN61+BY61+CJ61</f>
        <v>0</v>
      </c>
      <c r="M61" s="78"/>
      <c r="N61" s="92"/>
      <c r="O61" s="268"/>
      <c r="P61" s="95">
        <f t="shared" si="147"/>
        <v>0</v>
      </c>
      <c r="Q61" s="96">
        <f t="shared" si="148"/>
        <v>0</v>
      </c>
      <c r="R61" s="84"/>
      <c r="S61" s="176"/>
      <c r="T61" s="172"/>
      <c r="U61" s="87"/>
      <c r="V61" s="90"/>
      <c r="W61" s="182"/>
      <c r="X61" s="78"/>
      <c r="Y61" s="92"/>
      <c r="Z61" s="268"/>
      <c r="AA61" s="95">
        <f t="shared" si="149"/>
        <v>0</v>
      </c>
      <c r="AB61" s="96">
        <f t="shared" si="150"/>
        <v>0</v>
      </c>
      <c r="AC61" s="84"/>
      <c r="AD61" s="176"/>
      <c r="AE61" s="172"/>
      <c r="AF61" s="87"/>
      <c r="AG61" s="90"/>
      <c r="AH61" s="182"/>
      <c r="AI61" s="78"/>
      <c r="AJ61" s="92">
        <f>AL61+AQ61+AR61</f>
        <v>36</v>
      </c>
      <c r="AK61" s="268"/>
      <c r="AL61" s="95">
        <v>36</v>
      </c>
      <c r="AM61" s="96">
        <f t="shared" si="152"/>
        <v>0</v>
      </c>
      <c r="AN61" s="84">
        <v>36</v>
      </c>
      <c r="AO61" s="176"/>
      <c r="AP61" s="172"/>
      <c r="AQ61" s="87"/>
      <c r="AR61" s="90"/>
      <c r="AS61" s="182" t="s">
        <v>95</v>
      </c>
      <c r="AT61" s="78"/>
      <c r="AU61" s="92">
        <v>108</v>
      </c>
      <c r="AV61" s="268"/>
      <c r="AW61" s="95">
        <v>108</v>
      </c>
      <c r="AX61" s="96">
        <f t="shared" si="153"/>
        <v>0</v>
      </c>
      <c r="AY61" s="84">
        <v>108</v>
      </c>
      <c r="AZ61" s="176"/>
      <c r="BA61" s="172"/>
      <c r="BB61" s="87"/>
      <c r="BC61" s="90"/>
      <c r="BD61" s="320" t="s">
        <v>95</v>
      </c>
      <c r="BE61" s="78"/>
      <c r="BF61" s="92"/>
      <c r="BG61" s="268"/>
      <c r="BH61" s="95">
        <f t="shared" si="154"/>
        <v>0</v>
      </c>
      <c r="BI61" s="96">
        <f t="shared" si="155"/>
        <v>0</v>
      </c>
      <c r="BJ61" s="84"/>
      <c r="BK61" s="176"/>
      <c r="BL61" s="172"/>
      <c r="BM61" s="87"/>
      <c r="BN61" s="90"/>
      <c r="BO61" s="182"/>
      <c r="BP61" s="78"/>
      <c r="BQ61" s="92"/>
      <c r="BR61" s="268"/>
      <c r="BS61" s="324">
        <f t="shared" si="156"/>
        <v>0</v>
      </c>
      <c r="BT61" s="96">
        <f t="shared" si="157"/>
        <v>0</v>
      </c>
      <c r="BU61" s="84"/>
      <c r="BV61" s="176"/>
      <c r="BW61" s="172"/>
      <c r="BX61" s="87"/>
      <c r="BY61" s="90"/>
      <c r="BZ61" s="182"/>
      <c r="CA61" s="78"/>
      <c r="CB61" s="92"/>
      <c r="CC61" s="268"/>
      <c r="CD61" s="95">
        <f t="shared" si="158"/>
        <v>0</v>
      </c>
      <c r="CE61" s="96">
        <f t="shared" si="159"/>
        <v>0</v>
      </c>
      <c r="CF61" s="84"/>
      <c r="CG61" s="176"/>
      <c r="CH61" s="172"/>
      <c r="CI61" s="87"/>
      <c r="CJ61" s="90"/>
      <c r="CK61" s="182"/>
      <c r="CL61" s="139"/>
      <c r="CM61" s="15">
        <v>50</v>
      </c>
    </row>
    <row r="62" spans="1:91" ht="20.25" customHeight="1" x14ac:dyDescent="0.25">
      <c r="A62" s="68" t="s">
        <v>137</v>
      </c>
      <c r="B62" s="218" t="s">
        <v>30</v>
      </c>
      <c r="C62" s="315"/>
      <c r="D62" s="41">
        <f>N62+Y62+AJ62+AU62+BF62+BQ62+CB62</f>
        <v>0</v>
      </c>
      <c r="E62" s="49"/>
      <c r="F62" s="49">
        <f>P62+AA62+AL62+AW62+BH62+BS62+CD62</f>
        <v>0</v>
      </c>
      <c r="G62" s="49">
        <f>Q62+AB62+AM62+AX62+BI62+BT62+CE62</f>
        <v>0</v>
      </c>
      <c r="H62" s="49">
        <f>S62+AD62+AO62+AZ62+BK62+BV62+CG62</f>
        <v>0</v>
      </c>
      <c r="I62" s="49">
        <f>R62+AC62+AN62+AY62+BJ62+BU62+CF62</f>
        <v>0</v>
      </c>
      <c r="J62" s="49">
        <f>T62+AE62+AP62+BA62+BL62+BW62+CH62</f>
        <v>0</v>
      </c>
      <c r="K62" s="49">
        <f>U62+AF62+AQ62+BB62+BM62+BX62+CI62</f>
        <v>0</v>
      </c>
      <c r="L62" s="49">
        <f>V62+AG62+AR62+BC62+BN62+BY62+CJ62</f>
        <v>0</v>
      </c>
      <c r="M62" s="78"/>
      <c r="N62" s="92"/>
      <c r="O62" s="268"/>
      <c r="P62" s="95">
        <f t="shared" si="147"/>
        <v>0</v>
      </c>
      <c r="Q62" s="96">
        <f t="shared" si="148"/>
        <v>0</v>
      </c>
      <c r="R62" s="84"/>
      <c r="S62" s="176"/>
      <c r="T62" s="172"/>
      <c r="U62" s="87"/>
      <c r="V62" s="90"/>
      <c r="W62" s="182"/>
      <c r="X62" s="78"/>
      <c r="Y62" s="92"/>
      <c r="Z62" s="268"/>
      <c r="AA62" s="95">
        <f t="shared" si="149"/>
        <v>0</v>
      </c>
      <c r="AB62" s="96">
        <f t="shared" si="150"/>
        <v>0</v>
      </c>
      <c r="AC62" s="84"/>
      <c r="AD62" s="176"/>
      <c r="AE62" s="172"/>
      <c r="AF62" s="87"/>
      <c r="AG62" s="90"/>
      <c r="AH62" s="182"/>
      <c r="AI62" s="78"/>
      <c r="AJ62" s="92"/>
      <c r="AK62" s="268"/>
      <c r="AL62" s="95"/>
      <c r="AM62" s="96">
        <f t="shared" si="152"/>
        <v>0</v>
      </c>
      <c r="AN62" s="84"/>
      <c r="AO62" s="176"/>
      <c r="AP62" s="172"/>
      <c r="AQ62" s="87"/>
      <c r="AR62" s="90"/>
      <c r="AS62" s="182"/>
      <c r="AT62" s="78"/>
      <c r="AU62" s="92"/>
      <c r="AV62" s="268"/>
      <c r="AW62" s="95"/>
      <c r="AX62" s="96">
        <f t="shared" si="153"/>
        <v>0</v>
      </c>
      <c r="AY62" s="84"/>
      <c r="AZ62" s="176"/>
      <c r="BA62" s="172"/>
      <c r="BB62" s="87"/>
      <c r="BC62" s="90"/>
      <c r="BD62" s="320"/>
      <c r="BE62" s="78"/>
      <c r="BF62" s="92"/>
      <c r="BG62" s="268"/>
      <c r="BH62" s="95">
        <f t="shared" si="154"/>
        <v>0</v>
      </c>
      <c r="BI62" s="96">
        <f t="shared" si="155"/>
        <v>0</v>
      </c>
      <c r="BJ62" s="84"/>
      <c r="BK62" s="176"/>
      <c r="BL62" s="172"/>
      <c r="BM62" s="87"/>
      <c r="BN62" s="90"/>
      <c r="BO62" s="182"/>
      <c r="BP62" s="78"/>
      <c r="BQ62" s="92"/>
      <c r="BR62" s="268"/>
      <c r="BS62" s="324">
        <f t="shared" si="156"/>
        <v>0</v>
      </c>
      <c r="BT62" s="96">
        <f t="shared" si="157"/>
        <v>0</v>
      </c>
      <c r="BU62" s="84"/>
      <c r="BV62" s="176"/>
      <c r="BW62" s="172"/>
      <c r="BX62" s="87"/>
      <c r="BY62" s="90"/>
      <c r="BZ62" s="182"/>
      <c r="CA62" s="78"/>
      <c r="CB62" s="92"/>
      <c r="CC62" s="268"/>
      <c r="CD62" s="95">
        <f t="shared" si="158"/>
        <v>0</v>
      </c>
      <c r="CE62" s="96">
        <f t="shared" si="159"/>
        <v>0</v>
      </c>
      <c r="CF62" s="84"/>
      <c r="CG62" s="176"/>
      <c r="CH62" s="172"/>
      <c r="CI62" s="87"/>
      <c r="CJ62" s="90"/>
      <c r="CK62" s="182"/>
      <c r="CL62" s="139"/>
      <c r="CM62" s="15"/>
    </row>
    <row r="63" spans="1:91" ht="16.5" customHeight="1" x14ac:dyDescent="0.25">
      <c r="A63" s="35"/>
      <c r="B63" s="228" t="s">
        <v>296</v>
      </c>
      <c r="C63" s="247" t="s">
        <v>288</v>
      </c>
      <c r="D63" s="41">
        <f>N63+Y63+AJ63+AU63+BF63+BQ63+CB63</f>
        <v>8</v>
      </c>
      <c r="E63" s="49"/>
      <c r="F63" s="49">
        <f>P63+AA63+AL63+AW63+BH63+BS63+CD63</f>
        <v>0</v>
      </c>
      <c r="G63" s="49">
        <f>Q63+AB63+AM63+AX63+BI63+BT63+CE63</f>
        <v>0</v>
      </c>
      <c r="H63" s="49">
        <f>S63+AD63+AO63+AZ63+BK63+BV63+CG63</f>
        <v>0</v>
      </c>
      <c r="I63" s="49">
        <f>R63+AC63+AN63+AY63+BJ63+BU63+CF63</f>
        <v>0</v>
      </c>
      <c r="J63" s="49">
        <f>T63+AE63+AP63+BA63+BL63+BW63+CH63</f>
        <v>0</v>
      </c>
      <c r="K63" s="49">
        <f>U63+AF63+AQ63+BB63+BM63+BX63+CI63</f>
        <v>4</v>
      </c>
      <c r="L63" s="49">
        <f>V63+AG63+AR63+BC63+BN63+BY63+CJ63</f>
        <v>4</v>
      </c>
      <c r="M63" s="78"/>
      <c r="N63" s="92">
        <f>P63+U63+V63</f>
        <v>0</v>
      </c>
      <c r="O63" s="268"/>
      <c r="P63" s="95">
        <f t="shared" si="147"/>
        <v>0</v>
      </c>
      <c r="Q63" s="96">
        <f t="shared" si="148"/>
        <v>0</v>
      </c>
      <c r="R63" s="84"/>
      <c r="S63" s="176"/>
      <c r="T63" s="172"/>
      <c r="U63" s="87"/>
      <c r="V63" s="90"/>
      <c r="W63" s="182"/>
      <c r="X63" s="78"/>
      <c r="Y63" s="92">
        <f>AA63+AF63+AG63</f>
        <v>0</v>
      </c>
      <c r="Z63" s="268"/>
      <c r="AA63" s="95">
        <f t="shared" si="149"/>
        <v>0</v>
      </c>
      <c r="AB63" s="96">
        <f t="shared" si="150"/>
        <v>0</v>
      </c>
      <c r="AC63" s="84"/>
      <c r="AD63" s="176"/>
      <c r="AE63" s="172"/>
      <c r="AF63" s="87"/>
      <c r="AG63" s="90"/>
      <c r="AH63" s="182"/>
      <c r="AI63" s="78"/>
      <c r="AJ63" s="92">
        <f>AL63+AQ63+AR63</f>
        <v>0</v>
      </c>
      <c r="AK63" s="268"/>
      <c r="AL63" s="95">
        <f>AK63*$CN$8</f>
        <v>0</v>
      </c>
      <c r="AM63" s="96">
        <f t="shared" si="152"/>
        <v>0</v>
      </c>
      <c r="AN63" s="84"/>
      <c r="AO63" s="176"/>
      <c r="AP63" s="172"/>
      <c r="AQ63" s="87"/>
      <c r="AR63" s="90"/>
      <c r="AS63" s="182"/>
      <c r="AT63" s="78"/>
      <c r="AU63" s="92">
        <f>AW63+BB63+BC63</f>
        <v>8</v>
      </c>
      <c r="AV63" s="268"/>
      <c r="AW63" s="95">
        <f>AV63*$CN$9</f>
        <v>0</v>
      </c>
      <c r="AX63" s="96">
        <f t="shared" si="153"/>
        <v>0</v>
      </c>
      <c r="AY63" s="84"/>
      <c r="AZ63" s="176"/>
      <c r="BA63" s="172"/>
      <c r="BB63" s="87">
        <v>4</v>
      </c>
      <c r="BC63" s="90">
        <v>4</v>
      </c>
      <c r="BD63" s="182" t="s">
        <v>288</v>
      </c>
      <c r="BE63" s="78"/>
      <c r="BF63" s="92">
        <f>BH63+BM63+BN63</f>
        <v>0</v>
      </c>
      <c r="BG63" s="268"/>
      <c r="BH63" s="95">
        <f t="shared" si="154"/>
        <v>0</v>
      </c>
      <c r="BI63" s="96">
        <f t="shared" si="155"/>
        <v>0</v>
      </c>
      <c r="BJ63" s="84"/>
      <c r="BK63" s="176"/>
      <c r="BL63" s="172"/>
      <c r="BM63" s="87"/>
      <c r="BN63" s="90"/>
      <c r="BO63" s="182"/>
      <c r="BP63" s="78"/>
      <c r="BQ63" s="92">
        <f>BS63+BX63+BY63</f>
        <v>0</v>
      </c>
      <c r="BR63" s="268"/>
      <c r="BS63" s="324">
        <f t="shared" si="156"/>
        <v>0</v>
      </c>
      <c r="BT63" s="96">
        <f t="shared" si="157"/>
        <v>0</v>
      </c>
      <c r="BU63" s="84"/>
      <c r="BV63" s="176"/>
      <c r="BW63" s="172"/>
      <c r="BX63" s="87"/>
      <c r="BY63" s="90"/>
      <c r="BZ63" s="182"/>
      <c r="CA63" s="78"/>
      <c r="CB63" s="92">
        <f>CD63+CI63+CJ63</f>
        <v>0</v>
      </c>
      <c r="CC63" s="268"/>
      <c r="CD63" s="95">
        <f t="shared" si="158"/>
        <v>0</v>
      </c>
      <c r="CE63" s="96">
        <f t="shared" si="159"/>
        <v>0</v>
      </c>
      <c r="CF63" s="84"/>
      <c r="CG63" s="176"/>
      <c r="CH63" s="172"/>
      <c r="CI63" s="87"/>
      <c r="CJ63" s="90"/>
      <c r="CK63" s="182"/>
      <c r="CL63" s="139"/>
      <c r="CM63" s="15">
        <v>50</v>
      </c>
    </row>
    <row r="64" spans="1:91" ht="4.5" customHeight="1" x14ac:dyDescent="0.25">
      <c r="A64" s="101"/>
      <c r="B64" s="219"/>
      <c r="C64" s="243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77"/>
      <c r="O64" s="266"/>
      <c r="P64" s="77"/>
      <c r="Q64" s="77"/>
      <c r="R64" s="78"/>
      <c r="S64" s="78"/>
      <c r="T64" s="78"/>
      <c r="U64" s="78"/>
      <c r="V64" s="78"/>
      <c r="W64" s="78"/>
      <c r="X64" s="78"/>
      <c r="Y64" s="77"/>
      <c r="Z64" s="266"/>
      <c r="AA64" s="77"/>
      <c r="AB64" s="77"/>
      <c r="AC64" s="78"/>
      <c r="AD64" s="78"/>
      <c r="AE64" s="78"/>
      <c r="AF64" s="78"/>
      <c r="AG64" s="78"/>
      <c r="AH64" s="78"/>
      <c r="AI64" s="78"/>
      <c r="AJ64" s="77"/>
      <c r="AK64" s="266"/>
      <c r="AL64" s="77"/>
      <c r="AM64" s="77"/>
      <c r="AN64" s="78"/>
      <c r="AO64" s="78"/>
      <c r="AP64" s="78"/>
      <c r="AQ64" s="78"/>
      <c r="AR64" s="78"/>
      <c r="AS64" s="78"/>
      <c r="AT64" s="78"/>
      <c r="AU64" s="77"/>
      <c r="AV64" s="266"/>
      <c r="AW64" s="77"/>
      <c r="AX64" s="77"/>
      <c r="AY64" s="78"/>
      <c r="AZ64" s="78"/>
      <c r="BA64" s="78"/>
      <c r="BB64" s="78"/>
      <c r="BC64" s="78"/>
      <c r="BD64" s="78"/>
      <c r="BE64" s="78"/>
      <c r="BF64" s="77"/>
      <c r="BG64" s="266"/>
      <c r="BH64" s="77"/>
      <c r="BI64" s="77"/>
      <c r="BJ64" s="78"/>
      <c r="BK64" s="78"/>
      <c r="BL64" s="78"/>
      <c r="BM64" s="78"/>
      <c r="BN64" s="78"/>
      <c r="BO64" s="78"/>
      <c r="BP64" s="78"/>
      <c r="BQ64" s="77"/>
      <c r="BR64" s="266"/>
      <c r="BS64" s="293"/>
      <c r="BT64" s="77"/>
      <c r="BU64" s="78"/>
      <c r="BV64" s="78"/>
      <c r="BW64" s="78"/>
      <c r="BX64" s="78"/>
      <c r="BY64" s="78"/>
      <c r="BZ64" s="78"/>
      <c r="CA64" s="78"/>
      <c r="CB64" s="77"/>
      <c r="CC64" s="266"/>
      <c r="CD64" s="77"/>
      <c r="CE64" s="77"/>
      <c r="CF64" s="78"/>
      <c r="CG64" s="78"/>
      <c r="CH64" s="78"/>
      <c r="CI64" s="78"/>
      <c r="CJ64" s="78"/>
      <c r="CK64" s="78"/>
      <c r="CL64" s="139"/>
    </row>
    <row r="65" spans="1:95" ht="32.25" customHeight="1" x14ac:dyDescent="0.25">
      <c r="A65" s="110" t="s">
        <v>138</v>
      </c>
      <c r="B65" s="216" t="s">
        <v>231</v>
      </c>
      <c r="C65" s="237" t="s">
        <v>288</v>
      </c>
      <c r="D65" s="188">
        <f>N65+Y65+AJ65+AU65+BF65+BQ65+CB65</f>
        <v>176</v>
      </c>
      <c r="E65" s="112"/>
      <c r="F65" s="112">
        <f>P65+AA65+AL65+AW65+BH65+BS65+CD65</f>
        <v>150</v>
      </c>
      <c r="G65" s="112">
        <f>Q65+AB65+AM65+AX65+BI65+BT65+CE65</f>
        <v>50</v>
      </c>
      <c r="H65" s="112">
        <f>S65+AD65+AO65+AZ65+BK65+BV65+CG65</f>
        <v>0</v>
      </c>
      <c r="I65" s="112">
        <f>R65+AC65+AN65+AY65+BJ65+BU65+CF65</f>
        <v>100</v>
      </c>
      <c r="J65" s="112">
        <f>T65+AE65+AP65+BA65+BL65+BW65+CH65</f>
        <v>10</v>
      </c>
      <c r="K65" s="112">
        <f>U65+AF65+AQ65+BB65+BM65+BX65+CI65</f>
        <v>8</v>
      </c>
      <c r="L65" s="112">
        <f>V65+AG65+AR65+BC65+BN65+BY65+CJ65</f>
        <v>18</v>
      </c>
      <c r="M65" s="79"/>
      <c r="N65" s="112">
        <f>SUM(N66:N70)</f>
        <v>0</v>
      </c>
      <c r="O65" s="267">
        <f t="shared" ref="O65:V65" si="160">SUM(O66:O70)</f>
        <v>0</v>
      </c>
      <c r="P65" s="112">
        <f t="shared" si="160"/>
        <v>0</v>
      </c>
      <c r="Q65" s="112">
        <f t="shared" si="160"/>
        <v>0</v>
      </c>
      <c r="R65" s="112">
        <f t="shared" si="160"/>
        <v>0</v>
      </c>
      <c r="S65" s="112">
        <f t="shared" si="160"/>
        <v>0</v>
      </c>
      <c r="T65" s="112">
        <f t="shared" si="160"/>
        <v>0</v>
      </c>
      <c r="U65" s="112">
        <f t="shared" si="160"/>
        <v>0</v>
      </c>
      <c r="V65" s="112">
        <f t="shared" si="160"/>
        <v>0</v>
      </c>
      <c r="W65" s="112"/>
      <c r="X65" s="79"/>
      <c r="Y65" s="112">
        <f>SUM(Y66:Y70)</f>
        <v>0</v>
      </c>
      <c r="Z65" s="267">
        <f t="shared" ref="Z65:AG65" si="161">SUM(Z66:Z70)</f>
        <v>0</v>
      </c>
      <c r="AA65" s="112">
        <f t="shared" si="161"/>
        <v>0</v>
      </c>
      <c r="AB65" s="112">
        <f t="shared" si="161"/>
        <v>0</v>
      </c>
      <c r="AC65" s="112">
        <f t="shared" si="161"/>
        <v>0</v>
      </c>
      <c r="AD65" s="112">
        <f t="shared" si="161"/>
        <v>0</v>
      </c>
      <c r="AE65" s="112">
        <f t="shared" si="161"/>
        <v>0</v>
      </c>
      <c r="AF65" s="112">
        <f t="shared" si="161"/>
        <v>0</v>
      </c>
      <c r="AG65" s="112">
        <f t="shared" si="161"/>
        <v>0</v>
      </c>
      <c r="AH65" s="112"/>
      <c r="AI65" s="79"/>
      <c r="AJ65" s="112">
        <f>SUM(AJ66:AJ70)</f>
        <v>0</v>
      </c>
      <c r="AK65" s="267">
        <f t="shared" ref="AK65:AR65" si="162">SUM(AK66:AK70)</f>
        <v>0</v>
      </c>
      <c r="AL65" s="112">
        <f t="shared" si="162"/>
        <v>0</v>
      </c>
      <c r="AM65" s="112">
        <f t="shared" si="162"/>
        <v>0</v>
      </c>
      <c r="AN65" s="112">
        <f t="shared" si="162"/>
        <v>0</v>
      </c>
      <c r="AO65" s="112">
        <f t="shared" si="162"/>
        <v>0</v>
      </c>
      <c r="AP65" s="112">
        <f t="shared" si="162"/>
        <v>0</v>
      </c>
      <c r="AQ65" s="112">
        <f t="shared" si="162"/>
        <v>0</v>
      </c>
      <c r="AR65" s="112">
        <f t="shared" si="162"/>
        <v>0</v>
      </c>
      <c r="AS65" s="112"/>
      <c r="AT65" s="77"/>
      <c r="AU65" s="112">
        <f>SUM(AU66:AU70)</f>
        <v>0</v>
      </c>
      <c r="AV65" s="267">
        <f t="shared" ref="AV65:BC65" si="163">SUM(AV66:AV70)</f>
        <v>0</v>
      </c>
      <c r="AW65" s="112">
        <f t="shared" si="163"/>
        <v>0</v>
      </c>
      <c r="AX65" s="112">
        <f t="shared" si="163"/>
        <v>0</v>
      </c>
      <c r="AY65" s="112">
        <f t="shared" si="163"/>
        <v>0</v>
      </c>
      <c r="AZ65" s="112">
        <f t="shared" si="163"/>
        <v>0</v>
      </c>
      <c r="BA65" s="112">
        <f t="shared" si="163"/>
        <v>0</v>
      </c>
      <c r="BB65" s="112">
        <f t="shared" si="163"/>
        <v>0</v>
      </c>
      <c r="BC65" s="112">
        <f t="shared" si="163"/>
        <v>0</v>
      </c>
      <c r="BD65" s="112"/>
      <c r="BE65" s="77"/>
      <c r="BF65" s="112">
        <f>SUM(BF66:BF70)</f>
        <v>176</v>
      </c>
      <c r="BG65" s="267">
        <f t="shared" ref="BG65:BN65" si="164">SUM(BG66:BG70)</f>
        <v>6.5</v>
      </c>
      <c r="BH65" s="112">
        <f t="shared" si="164"/>
        <v>150</v>
      </c>
      <c r="BI65" s="112">
        <f t="shared" si="164"/>
        <v>50</v>
      </c>
      <c r="BJ65" s="112">
        <f t="shared" si="164"/>
        <v>100</v>
      </c>
      <c r="BK65" s="112">
        <f t="shared" si="164"/>
        <v>0</v>
      </c>
      <c r="BL65" s="112">
        <f t="shared" si="164"/>
        <v>10</v>
      </c>
      <c r="BM65" s="112">
        <f t="shared" si="164"/>
        <v>8</v>
      </c>
      <c r="BN65" s="112">
        <f t="shared" si="164"/>
        <v>18</v>
      </c>
      <c r="BO65" s="112"/>
      <c r="BP65" s="79"/>
      <c r="BQ65" s="112">
        <f>SUM(BQ66:BQ70)</f>
        <v>0</v>
      </c>
      <c r="BR65" s="267">
        <f t="shared" ref="BR65:BY65" si="165">SUM(BR66:BR70)</f>
        <v>0</v>
      </c>
      <c r="BS65" s="267">
        <f t="shared" si="165"/>
        <v>0</v>
      </c>
      <c r="BT65" s="112">
        <f t="shared" si="165"/>
        <v>0</v>
      </c>
      <c r="BU65" s="112">
        <f t="shared" si="165"/>
        <v>0</v>
      </c>
      <c r="BV65" s="112">
        <f t="shared" si="165"/>
        <v>0</v>
      </c>
      <c r="BW65" s="112">
        <f t="shared" si="165"/>
        <v>0</v>
      </c>
      <c r="BX65" s="112">
        <f t="shared" si="165"/>
        <v>0</v>
      </c>
      <c r="BY65" s="112">
        <f t="shared" si="165"/>
        <v>0</v>
      </c>
      <c r="BZ65" s="112"/>
      <c r="CA65" s="79"/>
      <c r="CB65" s="112">
        <f>SUM(CB66:CB70)</f>
        <v>0</v>
      </c>
      <c r="CC65" s="267">
        <f t="shared" ref="CC65:CJ65" si="166">SUM(CC66:CC70)</f>
        <v>0</v>
      </c>
      <c r="CD65" s="112">
        <f t="shared" si="166"/>
        <v>0</v>
      </c>
      <c r="CE65" s="112">
        <f t="shared" si="166"/>
        <v>0</v>
      </c>
      <c r="CF65" s="112">
        <f t="shared" si="166"/>
        <v>0</v>
      </c>
      <c r="CG65" s="112">
        <f t="shared" si="166"/>
        <v>0</v>
      </c>
      <c r="CH65" s="112">
        <f t="shared" si="166"/>
        <v>0</v>
      </c>
      <c r="CI65" s="112">
        <f t="shared" si="166"/>
        <v>0</v>
      </c>
      <c r="CJ65" s="112">
        <f t="shared" si="166"/>
        <v>0</v>
      </c>
      <c r="CK65" s="112"/>
      <c r="CL65" s="131"/>
    </row>
    <row r="66" spans="1:95" ht="33" customHeight="1" x14ac:dyDescent="0.25">
      <c r="A66" s="13" t="s">
        <v>139</v>
      </c>
      <c r="B66" s="217" t="s">
        <v>114</v>
      </c>
      <c r="C66" s="238" t="s">
        <v>82</v>
      </c>
      <c r="D66" s="41">
        <f>N66+Y66+AJ66+AU66+BF66+BQ66+CB66</f>
        <v>44</v>
      </c>
      <c r="E66" s="49"/>
      <c r="F66" s="49">
        <f>P66+AA66+AL66+AW66+BH66+BS66+CD66</f>
        <v>36</v>
      </c>
      <c r="G66" s="49">
        <f>Q66+AB66+AM66+AX66+BI66+BT66+CE66</f>
        <v>18</v>
      </c>
      <c r="H66" s="49">
        <f>S66+AD66+AO66+AZ66+BK66+BV66+CG66</f>
        <v>0</v>
      </c>
      <c r="I66" s="49">
        <f>R66+AC66+AN66+AY66+BJ66+BU66+CF66</f>
        <v>18</v>
      </c>
      <c r="J66" s="49">
        <f>T66+AE66+AP66+BA66+BL66+BW66+CH66</f>
        <v>10</v>
      </c>
      <c r="K66" s="49">
        <f>U66+AF66+AQ66+BB66+BM66+BX66+CI66</f>
        <v>2</v>
      </c>
      <c r="L66" s="49">
        <f>V66+AG66+AR66+BC66+BN66+BY66+CJ66</f>
        <v>6</v>
      </c>
      <c r="M66" s="78"/>
      <c r="N66" s="92">
        <f>P66+U66+V66</f>
        <v>0</v>
      </c>
      <c r="O66" s="268"/>
      <c r="P66" s="95">
        <f>O66*$CN$9</f>
        <v>0</v>
      </c>
      <c r="Q66" s="96">
        <f>P66-R66</f>
        <v>0</v>
      </c>
      <c r="R66" s="84"/>
      <c r="S66" s="176"/>
      <c r="T66" s="172"/>
      <c r="U66" s="87"/>
      <c r="V66" s="90"/>
      <c r="W66" s="182"/>
      <c r="X66" s="78"/>
      <c r="Y66" s="92">
        <f>AA66+AF66+AG66</f>
        <v>0</v>
      </c>
      <c r="Z66" s="268"/>
      <c r="AA66" s="95">
        <f>Z66*$CN$9</f>
        <v>0</v>
      </c>
      <c r="AB66" s="96">
        <f>AA66-AC66</f>
        <v>0</v>
      </c>
      <c r="AC66" s="84"/>
      <c r="AD66" s="176"/>
      <c r="AE66" s="172"/>
      <c r="AF66" s="87"/>
      <c r="AG66" s="90"/>
      <c r="AH66" s="182"/>
      <c r="AI66" s="78"/>
      <c r="AJ66" s="92">
        <f>AL66+AQ66+AR66</f>
        <v>0</v>
      </c>
      <c r="AK66" s="268"/>
      <c r="AL66" s="95">
        <f>AK66*$CN$8</f>
        <v>0</v>
      </c>
      <c r="AM66" s="96">
        <f>AL66-AN66</f>
        <v>0</v>
      </c>
      <c r="AN66" s="84"/>
      <c r="AO66" s="176"/>
      <c r="AP66" s="172"/>
      <c r="AQ66" s="87"/>
      <c r="AR66" s="90"/>
      <c r="AS66" s="182"/>
      <c r="AT66" s="78"/>
      <c r="AU66" s="92">
        <f>AW66+BB66+BC66</f>
        <v>0</v>
      </c>
      <c r="AV66" s="268"/>
      <c r="AW66" s="95">
        <f>AV66*$CN$9</f>
        <v>0</v>
      </c>
      <c r="AX66" s="96">
        <f>AW66-AY66</f>
        <v>0</v>
      </c>
      <c r="AY66" s="84"/>
      <c r="AZ66" s="176"/>
      <c r="BA66" s="172"/>
      <c r="BB66" s="87"/>
      <c r="BC66" s="90"/>
      <c r="BD66" s="182"/>
      <c r="BE66" s="78"/>
      <c r="BF66" s="92">
        <f>BH66+BM66+BN66</f>
        <v>44</v>
      </c>
      <c r="BG66" s="268">
        <v>3</v>
      </c>
      <c r="BH66" s="95">
        <f>BG66*$CN$10</f>
        <v>36</v>
      </c>
      <c r="BI66" s="96">
        <f>BH66-BJ66</f>
        <v>18</v>
      </c>
      <c r="BJ66" s="84">
        <v>18</v>
      </c>
      <c r="BK66" s="176"/>
      <c r="BL66" s="172">
        <v>10</v>
      </c>
      <c r="BM66" s="87">
        <v>2</v>
      </c>
      <c r="BN66" s="90">
        <v>6</v>
      </c>
      <c r="BO66" s="182" t="s">
        <v>82</v>
      </c>
      <c r="BP66" s="78"/>
      <c r="BQ66" s="92">
        <f>BS66+BX66+BY66</f>
        <v>0</v>
      </c>
      <c r="BR66" s="268"/>
      <c r="BS66" s="324">
        <f>BR66*$CN$11</f>
        <v>0</v>
      </c>
      <c r="BT66" s="96">
        <f>BS66-BU66</f>
        <v>0</v>
      </c>
      <c r="BU66" s="84"/>
      <c r="BV66" s="176"/>
      <c r="BW66" s="172"/>
      <c r="BX66" s="87"/>
      <c r="BY66" s="90"/>
      <c r="BZ66" s="182"/>
      <c r="CA66" s="78"/>
      <c r="CB66" s="92">
        <f>CD66+CI66+CJ66</f>
        <v>0</v>
      </c>
      <c r="CC66" s="268"/>
      <c r="CD66" s="95">
        <f>CC66*$CN$12</f>
        <v>0</v>
      </c>
      <c r="CE66" s="96">
        <f>CD66-CF66</f>
        <v>0</v>
      </c>
      <c r="CF66" s="84"/>
      <c r="CG66" s="176"/>
      <c r="CH66" s="172"/>
      <c r="CI66" s="87"/>
      <c r="CJ66" s="90"/>
      <c r="CK66" s="182"/>
      <c r="CL66" s="139"/>
      <c r="CM66" s="14">
        <v>32</v>
      </c>
      <c r="CQ66" s="14">
        <f>36/5</f>
        <v>7.2</v>
      </c>
    </row>
    <row r="67" spans="1:95" ht="18.75" customHeight="1" x14ac:dyDescent="0.25">
      <c r="A67" s="6" t="s">
        <v>140</v>
      </c>
      <c r="B67" s="217" t="s">
        <v>31</v>
      </c>
      <c r="C67" s="238" t="s">
        <v>82</v>
      </c>
      <c r="D67" s="41">
        <f>N67+Y67+AJ67+AU67+BF67+BQ67+CB67</f>
        <v>50</v>
      </c>
      <c r="E67" s="49"/>
      <c r="F67" s="49">
        <f>P67+AA67+AL67+AW67+BH67+BS67+CD67</f>
        <v>42</v>
      </c>
      <c r="G67" s="49">
        <f>Q67+AB67+AM67+AX67+BI67+BT67+CE67</f>
        <v>32</v>
      </c>
      <c r="H67" s="49">
        <f>S67+AD67+AO67+AZ67+BK67+BV67+CG67</f>
        <v>0</v>
      </c>
      <c r="I67" s="49">
        <f>R67+AC67+AN67+AY67+BJ67+BU67+CF67</f>
        <v>10</v>
      </c>
      <c r="J67" s="49">
        <f>T67+AE67+AP67+BA67+BL67+BW67+CH67</f>
        <v>0</v>
      </c>
      <c r="K67" s="49">
        <f>U67+AF67+AQ67+BB67+BM67+BX67+CI67</f>
        <v>2</v>
      </c>
      <c r="L67" s="49">
        <f>V67+AG67+AR67+BC67+BN67+BY67+CJ67</f>
        <v>6</v>
      </c>
      <c r="M67" s="78"/>
      <c r="N67" s="92">
        <f>P67+U67+V67</f>
        <v>0</v>
      </c>
      <c r="O67" s="268"/>
      <c r="P67" s="95">
        <f t="shared" ref="P67:P70" si="167">O67*$CN$9</f>
        <v>0</v>
      </c>
      <c r="Q67" s="96">
        <f t="shared" ref="Q67:Q70" si="168">P67-R67</f>
        <v>0</v>
      </c>
      <c r="R67" s="84"/>
      <c r="S67" s="176"/>
      <c r="T67" s="172"/>
      <c r="U67" s="87"/>
      <c r="V67" s="90"/>
      <c r="W67" s="182"/>
      <c r="X67" s="78"/>
      <c r="Y67" s="92">
        <f>AA67+AF67+AG67</f>
        <v>0</v>
      </c>
      <c r="Z67" s="268"/>
      <c r="AA67" s="95">
        <f t="shared" ref="AA67:AA70" si="169">Z67*$CN$9</f>
        <v>0</v>
      </c>
      <c r="AB67" s="96">
        <f t="shared" ref="AB67:AB70" si="170">AA67-AC67</f>
        <v>0</v>
      </c>
      <c r="AC67" s="84"/>
      <c r="AD67" s="176"/>
      <c r="AE67" s="172"/>
      <c r="AF67" s="87"/>
      <c r="AG67" s="90"/>
      <c r="AH67" s="182"/>
      <c r="AI67" s="78"/>
      <c r="AJ67" s="92">
        <f>AL67+AQ67+AR67</f>
        <v>0</v>
      </c>
      <c r="AK67" s="268"/>
      <c r="AL67" s="95">
        <f t="shared" ref="AL67:AL70" si="171">AK67*$CN$8</f>
        <v>0</v>
      </c>
      <c r="AM67" s="96">
        <f t="shared" ref="AM67:AM70" si="172">AL67-AN67</f>
        <v>0</v>
      </c>
      <c r="AN67" s="84"/>
      <c r="AO67" s="176"/>
      <c r="AP67" s="172"/>
      <c r="AQ67" s="87"/>
      <c r="AR67" s="90"/>
      <c r="AS67" s="182"/>
      <c r="AT67" s="78"/>
      <c r="AU67" s="92">
        <f>AW67+BB67+BC67</f>
        <v>0</v>
      </c>
      <c r="AV67" s="268"/>
      <c r="AW67" s="95">
        <f t="shared" ref="AW67:AW70" si="173">AV67*$CN$9</f>
        <v>0</v>
      </c>
      <c r="AX67" s="96">
        <f t="shared" ref="AX67:AX70" si="174">AW67-AY67</f>
        <v>0</v>
      </c>
      <c r="AY67" s="84"/>
      <c r="AZ67" s="176"/>
      <c r="BA67" s="172"/>
      <c r="BB67" s="87"/>
      <c r="BC67" s="90"/>
      <c r="BD67" s="182"/>
      <c r="BE67" s="78"/>
      <c r="BF67" s="92">
        <f>BH67+BM67+BN67</f>
        <v>50</v>
      </c>
      <c r="BG67" s="268">
        <f>BH67/12</f>
        <v>3.5</v>
      </c>
      <c r="BH67" s="95">
        <v>42</v>
      </c>
      <c r="BI67" s="96">
        <f t="shared" ref="BI67:BI70" si="175">BH67-BJ67</f>
        <v>32</v>
      </c>
      <c r="BJ67" s="84">
        <v>10</v>
      </c>
      <c r="BK67" s="176"/>
      <c r="BL67" s="172"/>
      <c r="BM67" s="87">
        <v>2</v>
      </c>
      <c r="BN67" s="90">
        <v>6</v>
      </c>
      <c r="BO67" s="182" t="s">
        <v>82</v>
      </c>
      <c r="BP67" s="78"/>
      <c r="BQ67" s="92"/>
      <c r="BR67" s="268"/>
      <c r="BS67" s="324">
        <f t="shared" ref="BS67:BS70" si="176">BR67*$CN$11</f>
        <v>0</v>
      </c>
      <c r="BT67" s="96">
        <f t="shared" ref="BT67:BT70" si="177">BS67-BU67</f>
        <v>0</v>
      </c>
      <c r="BU67" s="84"/>
      <c r="BV67" s="176"/>
      <c r="BW67" s="172"/>
      <c r="BX67" s="87"/>
      <c r="BY67" s="90"/>
      <c r="BZ67" s="182"/>
      <c r="CA67" s="78"/>
      <c r="CB67" s="92">
        <f>CD67+CI67+CJ67</f>
        <v>0</v>
      </c>
      <c r="CC67" s="268"/>
      <c r="CD67" s="95">
        <f t="shared" ref="CD67:CD70" si="178">CC67*$CN$12</f>
        <v>0</v>
      </c>
      <c r="CE67" s="96">
        <f t="shared" ref="CE67:CE70" si="179">CD67-CF67</f>
        <v>0</v>
      </c>
      <c r="CF67" s="84"/>
      <c r="CG67" s="176"/>
      <c r="CH67" s="172"/>
      <c r="CI67" s="87"/>
      <c r="CJ67" s="90"/>
      <c r="CK67" s="182"/>
      <c r="CL67" s="139"/>
      <c r="CM67" s="14">
        <v>40</v>
      </c>
    </row>
    <row r="68" spans="1:95" ht="20.100000000000001" customHeight="1" x14ac:dyDescent="0.25">
      <c r="A68" s="6" t="s">
        <v>141</v>
      </c>
      <c r="B68" s="217" t="s">
        <v>29</v>
      </c>
      <c r="C68" s="238" t="s">
        <v>292</v>
      </c>
      <c r="D68" s="41">
        <f>N68+Y68+AJ68+AU68+BF68+BQ68+CB68</f>
        <v>72</v>
      </c>
      <c r="E68" s="49"/>
      <c r="F68" s="49">
        <f>P68+AA68+AL68+AW68+BH68+BS68+CD68</f>
        <v>72</v>
      </c>
      <c r="G68" s="49">
        <f>Q68+AB68+AM68+AX68+BI68+BT68+CE68</f>
        <v>0</v>
      </c>
      <c r="H68" s="49">
        <f>S68+AD68+AO68+AZ68+BK68+BV68+CG68</f>
        <v>0</v>
      </c>
      <c r="I68" s="49">
        <f>R68+AC68+AN68+AY68+BJ68+BU68+CF68</f>
        <v>72</v>
      </c>
      <c r="J68" s="49">
        <f>T68+AE68+AP68+BA68+BL68+BW68+CH68</f>
        <v>0</v>
      </c>
      <c r="K68" s="49">
        <f>U68+AF68+AQ68+BB68+BM68+BX68+CI68</f>
        <v>0</v>
      </c>
      <c r="L68" s="49">
        <f>V68+AG68+AR68+BC68+BN68+BY68+CJ68</f>
        <v>0</v>
      </c>
      <c r="M68" s="78"/>
      <c r="N68" s="92">
        <f>P68+U68+V68</f>
        <v>0</v>
      </c>
      <c r="O68" s="268"/>
      <c r="P68" s="95">
        <f t="shared" si="167"/>
        <v>0</v>
      </c>
      <c r="Q68" s="96">
        <f t="shared" si="168"/>
        <v>0</v>
      </c>
      <c r="R68" s="84"/>
      <c r="S68" s="176"/>
      <c r="T68" s="172"/>
      <c r="U68" s="87"/>
      <c r="V68" s="90"/>
      <c r="W68" s="182"/>
      <c r="X68" s="78"/>
      <c r="Y68" s="92">
        <f>AA68+AF68+AG68</f>
        <v>0</v>
      </c>
      <c r="Z68" s="268"/>
      <c r="AA68" s="95">
        <f t="shared" si="169"/>
        <v>0</v>
      </c>
      <c r="AB68" s="96">
        <f t="shared" si="170"/>
        <v>0</v>
      </c>
      <c r="AC68" s="84"/>
      <c r="AD68" s="176"/>
      <c r="AE68" s="172"/>
      <c r="AF68" s="87"/>
      <c r="AG68" s="90"/>
      <c r="AH68" s="182"/>
      <c r="AI68" s="78"/>
      <c r="AJ68" s="92">
        <f>AL68+AQ68+AR68</f>
        <v>0</v>
      </c>
      <c r="AK68" s="268"/>
      <c r="AL68" s="95">
        <f t="shared" si="171"/>
        <v>0</v>
      </c>
      <c r="AM68" s="96">
        <f t="shared" si="172"/>
        <v>0</v>
      </c>
      <c r="AN68" s="84"/>
      <c r="AO68" s="176"/>
      <c r="AP68" s="172"/>
      <c r="AQ68" s="87"/>
      <c r="AR68" s="90"/>
      <c r="AS68" s="182"/>
      <c r="AT68" s="78"/>
      <c r="AU68" s="92">
        <f>AW68+BB68+BC68</f>
        <v>0</v>
      </c>
      <c r="AV68" s="268"/>
      <c r="AW68" s="95">
        <f t="shared" si="173"/>
        <v>0</v>
      </c>
      <c r="AX68" s="96">
        <f t="shared" si="174"/>
        <v>0</v>
      </c>
      <c r="AY68" s="84"/>
      <c r="AZ68" s="176"/>
      <c r="BA68" s="172"/>
      <c r="BB68" s="87"/>
      <c r="BC68" s="90"/>
      <c r="BD68" s="182"/>
      <c r="BE68" s="78"/>
      <c r="BF68" s="92">
        <f>BH68+BM68+BN68</f>
        <v>72</v>
      </c>
      <c r="BG68" s="268"/>
      <c r="BH68" s="95">
        <v>72</v>
      </c>
      <c r="BI68" s="96">
        <f t="shared" si="175"/>
        <v>0</v>
      </c>
      <c r="BJ68" s="84">
        <v>72</v>
      </c>
      <c r="BK68" s="176"/>
      <c r="BL68" s="172"/>
      <c r="BM68" s="87"/>
      <c r="BN68" s="90"/>
      <c r="BO68" s="182" t="s">
        <v>95</v>
      </c>
      <c r="BP68" s="78"/>
      <c r="BQ68" s="92">
        <f>BS68+BX68+BY68</f>
        <v>0</v>
      </c>
      <c r="BR68" s="268"/>
      <c r="BS68" s="324">
        <f t="shared" si="176"/>
        <v>0</v>
      </c>
      <c r="BT68" s="96">
        <f t="shared" si="177"/>
        <v>0</v>
      </c>
      <c r="BU68" s="84"/>
      <c r="BV68" s="176"/>
      <c r="BW68" s="172"/>
      <c r="BX68" s="87"/>
      <c r="BY68" s="90"/>
      <c r="BZ68" s="182"/>
      <c r="CA68" s="78"/>
      <c r="CB68" s="92">
        <f>CD68+CI68+CJ68</f>
        <v>0</v>
      </c>
      <c r="CC68" s="268"/>
      <c r="CD68" s="95">
        <f t="shared" si="178"/>
        <v>0</v>
      </c>
      <c r="CE68" s="96">
        <f t="shared" si="179"/>
        <v>0</v>
      </c>
      <c r="CF68" s="84"/>
      <c r="CG68" s="176"/>
      <c r="CH68" s="172"/>
      <c r="CI68" s="87"/>
      <c r="CJ68" s="90"/>
      <c r="CK68" s="182"/>
      <c r="CL68" s="139"/>
      <c r="CM68" s="15">
        <v>25</v>
      </c>
    </row>
    <row r="69" spans="1:95" ht="20.100000000000001" customHeight="1" x14ac:dyDescent="0.25">
      <c r="A69" s="68" t="s">
        <v>142</v>
      </c>
      <c r="B69" s="218" t="s">
        <v>367</v>
      </c>
      <c r="C69" s="248" t="s">
        <v>95</v>
      </c>
      <c r="D69" s="41"/>
      <c r="E69" s="49"/>
      <c r="F69" s="49">
        <f>P69+AA69+AL69+AW69+BH69+BS69+CD69</f>
        <v>0</v>
      </c>
      <c r="G69" s="49"/>
      <c r="H69" s="49"/>
      <c r="I69" s="49"/>
      <c r="J69" s="49"/>
      <c r="K69" s="49"/>
      <c r="L69" s="49"/>
      <c r="M69" s="78"/>
      <c r="N69" s="92"/>
      <c r="O69" s="268"/>
      <c r="P69" s="95">
        <f t="shared" si="167"/>
        <v>0</v>
      </c>
      <c r="Q69" s="96">
        <f t="shared" si="168"/>
        <v>0</v>
      </c>
      <c r="R69" s="84"/>
      <c r="S69" s="176"/>
      <c r="T69" s="172"/>
      <c r="U69" s="87"/>
      <c r="V69" s="90"/>
      <c r="W69" s="182"/>
      <c r="X69" s="78"/>
      <c r="Y69" s="92"/>
      <c r="Z69" s="268"/>
      <c r="AA69" s="95">
        <f t="shared" si="169"/>
        <v>0</v>
      </c>
      <c r="AB69" s="96">
        <f t="shared" si="170"/>
        <v>0</v>
      </c>
      <c r="AC69" s="84"/>
      <c r="AD69" s="176"/>
      <c r="AE69" s="172"/>
      <c r="AF69" s="87"/>
      <c r="AG69" s="90"/>
      <c r="AH69" s="182"/>
      <c r="AI69" s="78"/>
      <c r="AJ69" s="92"/>
      <c r="AK69" s="268"/>
      <c r="AL69" s="95">
        <f t="shared" si="171"/>
        <v>0</v>
      </c>
      <c r="AM69" s="96">
        <f t="shared" si="172"/>
        <v>0</v>
      </c>
      <c r="AN69" s="84"/>
      <c r="AO69" s="176"/>
      <c r="AP69" s="172"/>
      <c r="AQ69" s="87"/>
      <c r="AR69" s="90"/>
      <c r="AS69" s="182"/>
      <c r="AT69" s="78"/>
      <c r="AU69" s="92"/>
      <c r="AV69" s="268"/>
      <c r="AW69" s="95">
        <f t="shared" si="173"/>
        <v>0</v>
      </c>
      <c r="AX69" s="96">
        <f t="shared" si="174"/>
        <v>0</v>
      </c>
      <c r="AY69" s="84"/>
      <c r="AZ69" s="176"/>
      <c r="BA69" s="172"/>
      <c r="BB69" s="87"/>
      <c r="BC69" s="90"/>
      <c r="BD69" s="182"/>
      <c r="BE69" s="78"/>
      <c r="BF69" s="92"/>
      <c r="BG69" s="268"/>
      <c r="BH69" s="95"/>
      <c r="BI69" s="96">
        <f t="shared" si="175"/>
        <v>0</v>
      </c>
      <c r="BJ69" s="84"/>
      <c r="BK69" s="176"/>
      <c r="BL69" s="172"/>
      <c r="BM69" s="87"/>
      <c r="BN69" s="90"/>
      <c r="BO69" s="182"/>
      <c r="BP69" s="78"/>
      <c r="BQ69" s="92"/>
      <c r="BR69" s="268"/>
      <c r="BS69" s="324">
        <f t="shared" si="176"/>
        <v>0</v>
      </c>
      <c r="BT69" s="96">
        <f t="shared" si="177"/>
        <v>0</v>
      </c>
      <c r="BU69" s="84"/>
      <c r="BV69" s="176"/>
      <c r="BW69" s="172"/>
      <c r="BX69" s="87"/>
      <c r="BY69" s="90"/>
      <c r="BZ69" s="182"/>
      <c r="CA69" s="78"/>
      <c r="CB69" s="92"/>
      <c r="CC69" s="268"/>
      <c r="CD69" s="95">
        <f t="shared" si="178"/>
        <v>0</v>
      </c>
      <c r="CE69" s="96">
        <f t="shared" si="179"/>
        <v>0</v>
      </c>
      <c r="CF69" s="84"/>
      <c r="CG69" s="176"/>
      <c r="CH69" s="172"/>
      <c r="CI69" s="87"/>
      <c r="CJ69" s="90"/>
      <c r="CK69" s="182"/>
      <c r="CL69" s="139"/>
      <c r="CM69" s="15"/>
    </row>
    <row r="70" spans="1:95" ht="29.25" customHeight="1" x14ac:dyDescent="0.25">
      <c r="A70" s="35"/>
      <c r="B70" s="228" t="s">
        <v>296</v>
      </c>
      <c r="D70" s="41">
        <f>N70+Y70+AJ70+AU70+BF70+BQ70+CB70</f>
        <v>10</v>
      </c>
      <c r="E70" s="49"/>
      <c r="F70" s="49">
        <f>P70+AA70+AL70+AW70+BH70+BS70+CD70</f>
        <v>0</v>
      </c>
      <c r="G70" s="49">
        <f>Q70+AB70+AM70+AX70+BI70+BT70+CE70</f>
        <v>0</v>
      </c>
      <c r="H70" s="49">
        <f>S70+AD70+AO70+AZ70+BK70+BV70+CG70</f>
        <v>0</v>
      </c>
      <c r="I70" s="49">
        <f>R70+AC70+AN70+AY70+BJ70+BU70+CF70</f>
        <v>0</v>
      </c>
      <c r="J70" s="49">
        <f>T70+AE70+AP70+BA70+BL70+BW70+CH70</f>
        <v>0</v>
      </c>
      <c r="K70" s="49">
        <f>U70+AF70+AQ70+BB70+BM70+BX70+CI70</f>
        <v>4</v>
      </c>
      <c r="L70" s="49">
        <f>V70+AG70+AR70+BC70+BN70+BY70+CJ70</f>
        <v>6</v>
      </c>
      <c r="M70" s="78"/>
      <c r="N70" s="92">
        <f>P70+U70+V70</f>
        <v>0</v>
      </c>
      <c r="O70" s="268"/>
      <c r="P70" s="95">
        <f t="shared" si="167"/>
        <v>0</v>
      </c>
      <c r="Q70" s="96">
        <f t="shared" si="168"/>
        <v>0</v>
      </c>
      <c r="R70" s="84"/>
      <c r="S70" s="176"/>
      <c r="T70" s="172"/>
      <c r="U70" s="87"/>
      <c r="V70" s="90"/>
      <c r="W70" s="182"/>
      <c r="X70" s="78"/>
      <c r="Y70" s="92">
        <f>AA70+AF70+AG70</f>
        <v>0</v>
      </c>
      <c r="Z70" s="268"/>
      <c r="AA70" s="95">
        <f t="shared" si="169"/>
        <v>0</v>
      </c>
      <c r="AB70" s="96">
        <f t="shared" si="170"/>
        <v>0</v>
      </c>
      <c r="AC70" s="84"/>
      <c r="AD70" s="176"/>
      <c r="AE70" s="172"/>
      <c r="AF70" s="87"/>
      <c r="AG70" s="90"/>
      <c r="AH70" s="182"/>
      <c r="AI70" s="78"/>
      <c r="AJ70" s="92">
        <f>AL70+AQ70+AR70</f>
        <v>0</v>
      </c>
      <c r="AK70" s="268"/>
      <c r="AL70" s="95">
        <f t="shared" si="171"/>
        <v>0</v>
      </c>
      <c r="AM70" s="96">
        <f t="shared" si="172"/>
        <v>0</v>
      </c>
      <c r="AN70" s="84"/>
      <c r="AO70" s="176"/>
      <c r="AP70" s="172"/>
      <c r="AQ70" s="87"/>
      <c r="AR70" s="90"/>
      <c r="AS70" s="182"/>
      <c r="AT70" s="78"/>
      <c r="AU70" s="92">
        <f>AW70+BB70+BC70</f>
        <v>0</v>
      </c>
      <c r="AV70" s="268"/>
      <c r="AW70" s="95">
        <f t="shared" si="173"/>
        <v>0</v>
      </c>
      <c r="AX70" s="96">
        <f t="shared" si="174"/>
        <v>0</v>
      </c>
      <c r="AY70" s="84"/>
      <c r="AZ70" s="176"/>
      <c r="BA70" s="172"/>
      <c r="BB70" s="87"/>
      <c r="BC70" s="90"/>
      <c r="BD70" s="182"/>
      <c r="BE70" s="78"/>
      <c r="BF70" s="92">
        <f>BH70+BM70+BN70</f>
        <v>10</v>
      </c>
      <c r="BG70" s="268"/>
      <c r="BH70" s="95">
        <f>BG70*$CN$10</f>
        <v>0</v>
      </c>
      <c r="BI70" s="96">
        <f t="shared" si="175"/>
        <v>0</v>
      </c>
      <c r="BJ70" s="84"/>
      <c r="BK70" s="176"/>
      <c r="BL70" s="172"/>
      <c r="BM70" s="87">
        <v>4</v>
      </c>
      <c r="BN70" s="90">
        <v>6</v>
      </c>
      <c r="BO70" s="182" t="s">
        <v>288</v>
      </c>
      <c r="BP70" s="78"/>
      <c r="BQ70" s="92"/>
      <c r="BR70" s="268"/>
      <c r="BS70" s="324">
        <f t="shared" si="176"/>
        <v>0</v>
      </c>
      <c r="BT70" s="96">
        <f t="shared" si="177"/>
        <v>0</v>
      </c>
      <c r="BU70" s="84"/>
      <c r="BV70" s="176"/>
      <c r="BW70" s="172"/>
      <c r="BX70" s="87"/>
      <c r="BY70" s="90"/>
      <c r="BZ70" s="182"/>
      <c r="CA70" s="78"/>
      <c r="CB70" s="92">
        <f>CD70+CI70+CJ70</f>
        <v>0</v>
      </c>
      <c r="CC70" s="268"/>
      <c r="CD70" s="95">
        <f t="shared" si="178"/>
        <v>0</v>
      </c>
      <c r="CE70" s="96">
        <f t="shared" si="179"/>
        <v>0</v>
      </c>
      <c r="CF70" s="84"/>
      <c r="CG70" s="176"/>
      <c r="CH70" s="172"/>
      <c r="CI70" s="87"/>
      <c r="CJ70" s="90"/>
      <c r="CK70" s="182"/>
      <c r="CL70" s="139"/>
      <c r="CM70" s="15">
        <v>50</v>
      </c>
    </row>
    <row r="71" spans="1:95" ht="6.75" customHeight="1" x14ac:dyDescent="0.25">
      <c r="A71" s="101"/>
      <c r="B71" s="219"/>
      <c r="C71" s="236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77"/>
      <c r="O71" s="266"/>
      <c r="P71" s="77"/>
      <c r="Q71" s="77"/>
      <c r="R71" s="78"/>
      <c r="S71" s="78"/>
      <c r="T71" s="78"/>
      <c r="U71" s="78"/>
      <c r="V71" s="78"/>
      <c r="W71" s="78"/>
      <c r="X71" s="78"/>
      <c r="Y71" s="77"/>
      <c r="Z71" s="266"/>
      <c r="AA71" s="77"/>
      <c r="AB71" s="77"/>
      <c r="AC71" s="78"/>
      <c r="AD71" s="78"/>
      <c r="AE71" s="78"/>
      <c r="AF71" s="78"/>
      <c r="AG71" s="78"/>
      <c r="AH71" s="78"/>
      <c r="AI71" s="78"/>
      <c r="AJ71" s="77"/>
      <c r="AK71" s="266"/>
      <c r="AL71" s="77"/>
      <c r="AM71" s="77"/>
      <c r="AN71" s="78"/>
      <c r="AO71" s="78"/>
      <c r="AP71" s="78"/>
      <c r="AQ71" s="78"/>
      <c r="AR71" s="78"/>
      <c r="AS71" s="78"/>
      <c r="AT71" s="78"/>
      <c r="AU71" s="77"/>
      <c r="AV71" s="266"/>
      <c r="AW71" s="77"/>
      <c r="AX71" s="77"/>
      <c r="AY71" s="78"/>
      <c r="AZ71" s="78"/>
      <c r="BA71" s="78"/>
      <c r="BB71" s="78"/>
      <c r="BC71" s="78"/>
      <c r="BD71" s="78"/>
      <c r="BE71" s="78"/>
      <c r="BF71" s="77"/>
      <c r="BG71" s="266"/>
      <c r="BH71" s="77"/>
      <c r="BI71" s="77"/>
      <c r="BJ71" s="78"/>
      <c r="BK71" s="78"/>
      <c r="BL71" s="78"/>
      <c r="BM71" s="78"/>
      <c r="BN71" s="78"/>
      <c r="BO71" s="78"/>
      <c r="BP71" s="78"/>
      <c r="BQ71" s="77"/>
      <c r="BR71" s="266"/>
      <c r="BS71" s="293"/>
      <c r="BT71" s="77"/>
      <c r="BU71" s="78"/>
      <c r="BV71" s="78"/>
      <c r="BW71" s="78"/>
      <c r="BX71" s="78"/>
      <c r="BY71" s="78"/>
      <c r="BZ71" s="78"/>
      <c r="CA71" s="78"/>
      <c r="CB71" s="77"/>
      <c r="CC71" s="266"/>
      <c r="CD71" s="77"/>
      <c r="CE71" s="77"/>
      <c r="CF71" s="78"/>
      <c r="CG71" s="78"/>
      <c r="CH71" s="78"/>
      <c r="CI71" s="78"/>
      <c r="CJ71" s="78"/>
      <c r="CK71" s="78"/>
      <c r="CL71" s="139"/>
    </row>
    <row r="72" spans="1:95" ht="47.25" customHeight="1" x14ac:dyDescent="0.25">
      <c r="A72" s="110" t="s">
        <v>143</v>
      </c>
      <c r="B72" s="216" t="s">
        <v>232</v>
      </c>
      <c r="C72" s="250" t="s">
        <v>288</v>
      </c>
      <c r="D72" s="188">
        <f>N72+Y72+AJ72+AU72+BF72+BQ72+CB72</f>
        <v>1176</v>
      </c>
      <c r="E72" s="112"/>
      <c r="F72" s="112">
        <f>P72+AA72+AL72+AW72+BH72+BS72+CD72</f>
        <v>1136</v>
      </c>
      <c r="G72" s="112">
        <f>Q72+AB72+AM72+AX72+BI72+BT72+CE72</f>
        <v>602</v>
      </c>
      <c r="H72" s="112">
        <f>S72+AD72+AO72+AZ72+BK72+BV72+CG72</f>
        <v>0</v>
      </c>
      <c r="I72" s="112">
        <f>R72+AC72+AN72+AY72+BJ72+BU72+CF72</f>
        <v>462</v>
      </c>
      <c r="J72" s="112">
        <f>T72+AE72+AP72+BA72+BL72+BW72+CH72</f>
        <v>15</v>
      </c>
      <c r="K72" s="112">
        <f>U72+AF72+AQ72+BB72+BM72+BX72+CI72</f>
        <v>14</v>
      </c>
      <c r="L72" s="112">
        <f>V72+AG72+AR72+BC72+BN72+BY72+CJ72</f>
        <v>26</v>
      </c>
      <c r="M72" s="79"/>
      <c r="N72" s="112">
        <f>SUM(N73:N81)</f>
        <v>0</v>
      </c>
      <c r="O72" s="267">
        <f t="shared" ref="O72:V72" si="180">SUM(O73:O81)</f>
        <v>0</v>
      </c>
      <c r="P72" s="112">
        <f t="shared" si="180"/>
        <v>0</v>
      </c>
      <c r="Q72" s="112">
        <f t="shared" si="180"/>
        <v>0</v>
      </c>
      <c r="R72" s="112">
        <f t="shared" si="180"/>
        <v>0</v>
      </c>
      <c r="S72" s="112">
        <f t="shared" si="180"/>
        <v>0</v>
      </c>
      <c r="T72" s="112">
        <f t="shared" si="180"/>
        <v>0</v>
      </c>
      <c r="U72" s="112">
        <f t="shared" si="180"/>
        <v>0</v>
      </c>
      <c r="V72" s="112">
        <f t="shared" si="180"/>
        <v>0</v>
      </c>
      <c r="W72" s="112"/>
      <c r="X72" s="79"/>
      <c r="Y72" s="112">
        <f>SUM(Y73:Y81)</f>
        <v>0</v>
      </c>
      <c r="Z72" s="267">
        <f t="shared" ref="Z72:AG72" si="181">SUM(Z73:Z81)</f>
        <v>0</v>
      </c>
      <c r="AA72" s="112">
        <f t="shared" si="181"/>
        <v>0</v>
      </c>
      <c r="AB72" s="112">
        <f t="shared" si="181"/>
        <v>0</v>
      </c>
      <c r="AC72" s="112">
        <f t="shared" si="181"/>
        <v>0</v>
      </c>
      <c r="AD72" s="112">
        <f t="shared" si="181"/>
        <v>0</v>
      </c>
      <c r="AE72" s="112">
        <f t="shared" si="181"/>
        <v>0</v>
      </c>
      <c r="AF72" s="112">
        <f t="shared" si="181"/>
        <v>0</v>
      </c>
      <c r="AG72" s="112">
        <f t="shared" si="181"/>
        <v>0</v>
      </c>
      <c r="AH72" s="112"/>
      <c r="AI72" s="79"/>
      <c r="AJ72" s="112">
        <f>SUM(AJ73:AJ81)</f>
        <v>0</v>
      </c>
      <c r="AK72" s="267">
        <f t="shared" ref="AK72:AR72" si="182">SUM(AK73:AK81)</f>
        <v>0</v>
      </c>
      <c r="AL72" s="112">
        <f t="shared" si="182"/>
        <v>0</v>
      </c>
      <c r="AM72" s="112">
        <f t="shared" si="182"/>
        <v>0</v>
      </c>
      <c r="AN72" s="112">
        <f t="shared" si="182"/>
        <v>0</v>
      </c>
      <c r="AO72" s="112">
        <f t="shared" si="182"/>
        <v>0</v>
      </c>
      <c r="AP72" s="112">
        <f t="shared" si="182"/>
        <v>0</v>
      </c>
      <c r="AQ72" s="112">
        <f t="shared" si="182"/>
        <v>0</v>
      </c>
      <c r="AR72" s="112">
        <f t="shared" si="182"/>
        <v>0</v>
      </c>
      <c r="AS72" s="112"/>
      <c r="AT72" s="77"/>
      <c r="AU72" s="112">
        <f>SUM(AU73:AU81)</f>
        <v>0</v>
      </c>
      <c r="AV72" s="267">
        <f t="shared" ref="AV72:BC72" si="183">SUM(AV73:AV81)</f>
        <v>0</v>
      </c>
      <c r="AW72" s="112">
        <f t="shared" si="183"/>
        <v>0</v>
      </c>
      <c r="AX72" s="112">
        <f t="shared" si="183"/>
        <v>0</v>
      </c>
      <c r="AY72" s="112">
        <f t="shared" si="183"/>
        <v>0</v>
      </c>
      <c r="AZ72" s="112">
        <f t="shared" si="183"/>
        <v>0</v>
      </c>
      <c r="BA72" s="112">
        <f t="shared" si="183"/>
        <v>0</v>
      </c>
      <c r="BB72" s="112">
        <f t="shared" si="183"/>
        <v>0</v>
      </c>
      <c r="BC72" s="112">
        <f t="shared" si="183"/>
        <v>0</v>
      </c>
      <c r="BD72" s="112"/>
      <c r="BE72" s="77"/>
      <c r="BF72" s="112">
        <f>SUM(BF73:BF81)</f>
        <v>316</v>
      </c>
      <c r="BG72" s="267">
        <f t="shared" ref="BG72:BN72" si="184">SUM(BG73:BG81)</f>
        <v>19.5</v>
      </c>
      <c r="BH72" s="112">
        <f t="shared" si="184"/>
        <v>306</v>
      </c>
      <c r="BI72" s="112">
        <f t="shared" si="184"/>
        <v>96</v>
      </c>
      <c r="BJ72" s="112">
        <f t="shared" si="184"/>
        <v>138</v>
      </c>
      <c r="BK72" s="112">
        <f t="shared" si="184"/>
        <v>0</v>
      </c>
      <c r="BL72" s="112">
        <f t="shared" si="184"/>
        <v>0</v>
      </c>
      <c r="BM72" s="112">
        <f t="shared" si="184"/>
        <v>4</v>
      </c>
      <c r="BN72" s="112">
        <f t="shared" si="184"/>
        <v>6</v>
      </c>
      <c r="BO72" s="112"/>
      <c r="BP72" s="79"/>
      <c r="BQ72" s="112">
        <f>SUM(BQ73:BQ80)</f>
        <v>262</v>
      </c>
      <c r="BR72" s="267">
        <f>SUM(BR73:BR80)</f>
        <v>10</v>
      </c>
      <c r="BS72" s="267">
        <f>SUM(BS73:BS80)</f>
        <v>252</v>
      </c>
      <c r="BT72" s="112">
        <f t="shared" ref="BT72:BY72" si="185">SUM(BT73:BT81)</f>
        <v>172</v>
      </c>
      <c r="BU72" s="112">
        <f t="shared" si="185"/>
        <v>80</v>
      </c>
      <c r="BV72" s="112">
        <f t="shared" si="185"/>
        <v>0</v>
      </c>
      <c r="BW72" s="112">
        <f t="shared" si="185"/>
        <v>0</v>
      </c>
      <c r="BX72" s="112">
        <f t="shared" si="185"/>
        <v>4</v>
      </c>
      <c r="BY72" s="112">
        <f t="shared" si="185"/>
        <v>6</v>
      </c>
      <c r="BZ72" s="291"/>
      <c r="CA72" s="79"/>
      <c r="CB72" s="112">
        <f>SUM(CB73:CB81)</f>
        <v>598</v>
      </c>
      <c r="CC72" s="267">
        <f t="shared" ref="CC72" si="186">SUM(CC73:CC81)</f>
        <v>14.941176470588236</v>
      </c>
      <c r="CD72" s="112">
        <f>SUM(CD73:CD81)</f>
        <v>578</v>
      </c>
      <c r="CE72" s="112">
        <f t="shared" ref="CE72:CJ72" si="187">SUM(CE73:CE81)</f>
        <v>334</v>
      </c>
      <c r="CF72" s="112">
        <f t="shared" si="187"/>
        <v>244</v>
      </c>
      <c r="CG72" s="112">
        <f t="shared" si="187"/>
        <v>0</v>
      </c>
      <c r="CH72" s="112">
        <f t="shared" si="187"/>
        <v>15</v>
      </c>
      <c r="CI72" s="112">
        <f t="shared" si="187"/>
        <v>6</v>
      </c>
      <c r="CJ72" s="112">
        <f t="shared" si="187"/>
        <v>14</v>
      </c>
      <c r="CK72" s="112"/>
      <c r="CL72" s="131"/>
    </row>
    <row r="73" spans="1:95" ht="32.25" customHeight="1" x14ac:dyDescent="0.25">
      <c r="A73" s="13" t="s">
        <v>144</v>
      </c>
      <c r="B73" s="217" t="s">
        <v>115</v>
      </c>
      <c r="C73" s="449" t="s">
        <v>390</v>
      </c>
      <c r="D73" s="41">
        <f>N73+Y73+AJ73+AU73+BF73+BQ73+CB73</f>
        <v>119</v>
      </c>
      <c r="E73" s="49"/>
      <c r="F73" s="49">
        <f>P73+AA73+AL73+AW73+BH73+BS73+CD73</f>
        <v>114</v>
      </c>
      <c r="G73" s="49">
        <f>Q73+AB73+AM73+AX73+BI73+BT73+CE73</f>
        <v>74</v>
      </c>
      <c r="H73" s="49">
        <f>S73+AD73+AO73+AZ73+BK73+BV73+CG73</f>
        <v>0</v>
      </c>
      <c r="I73" s="49">
        <f>R73+AC73+AN73+AY73+BJ73+BU73+CF73</f>
        <v>40</v>
      </c>
      <c r="J73" s="49">
        <f>T73+AE73+AP73+BA73+BL73+BW73+CH73</f>
        <v>0</v>
      </c>
      <c r="K73" s="49">
        <f>U73+AF73+AQ73+BB73+BM73+BX73+CI73</f>
        <v>2</v>
      </c>
      <c r="L73" s="49">
        <f>V73+AG73+AR73+BC73+BN73+BY73+CJ73</f>
        <v>3</v>
      </c>
      <c r="M73" s="78"/>
      <c r="N73" s="92">
        <f>P73+U73+V73</f>
        <v>0</v>
      </c>
      <c r="O73" s="268"/>
      <c r="P73" s="95">
        <f>O73*$CN$9</f>
        <v>0</v>
      </c>
      <c r="Q73" s="96">
        <f>P73-R73</f>
        <v>0</v>
      </c>
      <c r="R73" s="84"/>
      <c r="S73" s="176"/>
      <c r="T73" s="172"/>
      <c r="U73" s="87"/>
      <c r="V73" s="90"/>
      <c r="W73" s="182"/>
      <c r="X73" s="78"/>
      <c r="Y73" s="92">
        <f>AA73+AF73+AG73</f>
        <v>0</v>
      </c>
      <c r="Z73" s="268"/>
      <c r="AA73" s="95">
        <f>Z73*$CN$9</f>
        <v>0</v>
      </c>
      <c r="AB73" s="96">
        <f>AA73-AC73</f>
        <v>0</v>
      </c>
      <c r="AC73" s="84"/>
      <c r="AD73" s="176"/>
      <c r="AE73" s="172"/>
      <c r="AF73" s="87"/>
      <c r="AG73" s="90"/>
      <c r="AH73" s="182"/>
      <c r="AI73" s="78"/>
      <c r="AJ73" s="92">
        <f>AL73+AQ73+AR73</f>
        <v>0</v>
      </c>
      <c r="AK73" s="268"/>
      <c r="AL73" s="95">
        <f>AK73*$CN$8</f>
        <v>0</v>
      </c>
      <c r="AM73" s="96">
        <f>AL73-AN73</f>
        <v>0</v>
      </c>
      <c r="AN73" s="84"/>
      <c r="AO73" s="176"/>
      <c r="AP73" s="172"/>
      <c r="AQ73" s="87"/>
      <c r="AR73" s="90"/>
      <c r="AS73" s="182"/>
      <c r="AT73" s="78"/>
      <c r="AU73" s="92">
        <f>AW73+BB73+BC73</f>
        <v>0</v>
      </c>
      <c r="AV73" s="268"/>
      <c r="AW73" s="95">
        <f>AV73*$CN$9</f>
        <v>0</v>
      </c>
      <c r="AX73" s="96">
        <f>AW73-AY73</f>
        <v>0</v>
      </c>
      <c r="AY73" s="84"/>
      <c r="AZ73" s="176"/>
      <c r="BA73" s="172"/>
      <c r="BB73" s="87"/>
      <c r="BC73" s="90"/>
      <c r="BD73" s="182"/>
      <c r="BE73" s="78"/>
      <c r="BF73" s="92">
        <f t="shared" ref="BF73:BF78" si="188">BH73+BM73+BN73</f>
        <v>42</v>
      </c>
      <c r="BG73" s="268">
        <v>3.5</v>
      </c>
      <c r="BH73" s="95">
        <v>42</v>
      </c>
      <c r="BI73" s="96">
        <f>BH73-BJ73</f>
        <v>22</v>
      </c>
      <c r="BJ73" s="84">
        <v>20</v>
      </c>
      <c r="BK73" s="176"/>
      <c r="BL73" s="172"/>
      <c r="BM73" s="87"/>
      <c r="BN73" s="90"/>
      <c r="BO73" s="182" t="s">
        <v>237</v>
      </c>
      <c r="BP73" s="78"/>
      <c r="BQ73" s="92">
        <f>BS73+BX73+BY73</f>
        <v>77</v>
      </c>
      <c r="BR73" s="268">
        <v>4</v>
      </c>
      <c r="BS73" s="324">
        <f>BR73*$CN$11</f>
        <v>72</v>
      </c>
      <c r="BT73" s="96">
        <f>BS73-BU73</f>
        <v>52</v>
      </c>
      <c r="BU73" s="84">
        <v>20</v>
      </c>
      <c r="BV73" s="176"/>
      <c r="BW73" s="172"/>
      <c r="BX73" s="87">
        <v>2</v>
      </c>
      <c r="BY73" s="90">
        <v>3</v>
      </c>
      <c r="BZ73" s="451" t="s">
        <v>82</v>
      </c>
      <c r="CA73" s="186"/>
      <c r="CB73" s="92">
        <f>CD73+CI73+CJ73</f>
        <v>0</v>
      </c>
      <c r="CC73" s="268"/>
      <c r="CD73" s="95">
        <f>CC73*$CN$12</f>
        <v>0</v>
      </c>
      <c r="CE73" s="96">
        <f>CD73-CF73</f>
        <v>0</v>
      </c>
      <c r="CF73" s="84"/>
      <c r="CG73" s="176"/>
      <c r="CH73" s="172"/>
      <c r="CI73" s="87"/>
      <c r="CJ73" s="90"/>
      <c r="CK73" s="182"/>
      <c r="CL73" s="139"/>
      <c r="CM73" s="14">
        <v>110</v>
      </c>
    </row>
    <row r="74" spans="1:95" ht="36" customHeight="1" x14ac:dyDescent="0.25">
      <c r="A74" s="6" t="s">
        <v>145</v>
      </c>
      <c r="B74" s="217" t="s">
        <v>116</v>
      </c>
      <c r="C74" s="450"/>
      <c r="D74" s="41">
        <f>N74+Y74+AJ74+AU74+BF74+BQ74+CB74</f>
        <v>257</v>
      </c>
      <c r="E74" s="49"/>
      <c r="F74" s="49">
        <f>P74+AA74+AL74+AW74+BH74+BS74+CD74</f>
        <v>248</v>
      </c>
      <c r="G74" s="49">
        <f>Q74+AB74+AM74+AX74+BI74+BT74+CE74</f>
        <v>120</v>
      </c>
      <c r="H74" s="49">
        <f>S74+AD74+AO74+AZ74+BK74+BV74+CG74</f>
        <v>0</v>
      </c>
      <c r="I74" s="49">
        <f>R74+AC74+AN74+AY74+BJ74+BU74+CF74</f>
        <v>128</v>
      </c>
      <c r="J74" s="49">
        <f>T74+AE74+AP74+BA74+BL74+BW74+CH74</f>
        <v>15</v>
      </c>
      <c r="K74" s="49">
        <f>U74+AF74+AQ74+BB74+BM74+BX74+CI74</f>
        <v>3</v>
      </c>
      <c r="L74" s="49">
        <f>V74+AG74+AR74+BC74+BN74+BY74+CJ74</f>
        <v>6</v>
      </c>
      <c r="M74" s="78"/>
      <c r="N74" s="92">
        <f>P74+U74+V74</f>
        <v>0</v>
      </c>
      <c r="O74" s="268"/>
      <c r="P74" s="95">
        <f t="shared" ref="P74:P78" si="189">O74*$CN$9</f>
        <v>0</v>
      </c>
      <c r="Q74" s="96">
        <f t="shared" ref="Q74:Q80" si="190">P74-R74</f>
        <v>0</v>
      </c>
      <c r="R74" s="84"/>
      <c r="S74" s="176"/>
      <c r="T74" s="172"/>
      <c r="U74" s="87"/>
      <c r="V74" s="90"/>
      <c r="W74" s="182"/>
      <c r="X74" s="78"/>
      <c r="Y74" s="92">
        <f>AA74+AF74+AG74</f>
        <v>0</v>
      </c>
      <c r="Z74" s="268"/>
      <c r="AA74" s="95">
        <f t="shared" ref="AA74:AA80" si="191">Z74*$CN$9</f>
        <v>0</v>
      </c>
      <c r="AB74" s="96">
        <f t="shared" ref="AB74:AB80" si="192">AA74-AC74</f>
        <v>0</v>
      </c>
      <c r="AC74" s="84"/>
      <c r="AD74" s="176"/>
      <c r="AE74" s="172"/>
      <c r="AF74" s="87"/>
      <c r="AG74" s="90"/>
      <c r="AH74" s="182"/>
      <c r="AI74" s="78"/>
      <c r="AJ74" s="92">
        <f>AL74+AQ74+AR74</f>
        <v>0</v>
      </c>
      <c r="AK74" s="268"/>
      <c r="AL74" s="95">
        <f t="shared" ref="AL74:AL80" si="193">AK74*$CN$8</f>
        <v>0</v>
      </c>
      <c r="AM74" s="96">
        <f t="shared" ref="AM74:AM80" si="194">AL74-AN74</f>
        <v>0</v>
      </c>
      <c r="AN74" s="84"/>
      <c r="AO74" s="176"/>
      <c r="AP74" s="172"/>
      <c r="AQ74" s="87"/>
      <c r="AR74" s="90"/>
      <c r="AS74" s="182"/>
      <c r="AT74" s="78"/>
      <c r="AU74" s="92">
        <f>AW74+BB74+BC74</f>
        <v>0</v>
      </c>
      <c r="AV74" s="268"/>
      <c r="AW74" s="95">
        <f t="shared" ref="AW74:AW80" si="195">AV74*$CN$9</f>
        <v>0</v>
      </c>
      <c r="AX74" s="96">
        <f t="shared" ref="AX74:AX80" si="196">AW74-AY74</f>
        <v>0</v>
      </c>
      <c r="AY74" s="84"/>
      <c r="AZ74" s="176"/>
      <c r="BA74" s="172"/>
      <c r="BB74" s="87"/>
      <c r="BC74" s="90"/>
      <c r="BD74" s="182"/>
      <c r="BE74" s="78"/>
      <c r="BF74" s="92">
        <f t="shared" si="188"/>
        <v>72</v>
      </c>
      <c r="BG74" s="268">
        <v>6</v>
      </c>
      <c r="BH74" s="95">
        <f>BG74*$CN$10</f>
        <v>72</v>
      </c>
      <c r="BI74" s="96">
        <f t="shared" ref="BI74:BI80" si="197">BH74-BJ74</f>
        <v>34</v>
      </c>
      <c r="BJ74" s="84">
        <v>38</v>
      </c>
      <c r="BK74" s="176"/>
      <c r="BL74" s="172"/>
      <c r="BM74" s="87"/>
      <c r="BN74" s="90"/>
      <c r="BO74" s="182" t="s">
        <v>237</v>
      </c>
      <c r="BP74" s="78"/>
      <c r="BQ74" s="92">
        <f>BS74+BX74+BY74</f>
        <v>113</v>
      </c>
      <c r="BR74" s="268">
        <v>6</v>
      </c>
      <c r="BS74" s="324">
        <f>BR74*$CN$11</f>
        <v>108</v>
      </c>
      <c r="BT74" s="96">
        <f t="shared" ref="BT74:BT80" si="198">BS74-BU74</f>
        <v>48</v>
      </c>
      <c r="BU74" s="84">
        <v>60</v>
      </c>
      <c r="BV74" s="176"/>
      <c r="BW74" s="172"/>
      <c r="BX74" s="87">
        <v>2</v>
      </c>
      <c r="BY74" s="90">
        <v>3</v>
      </c>
      <c r="BZ74" s="452"/>
      <c r="CA74" s="186"/>
      <c r="CB74" s="92">
        <f>CD74+CI74+CJ74</f>
        <v>72</v>
      </c>
      <c r="CC74" s="268">
        <v>4</v>
      </c>
      <c r="CD74" s="95">
        <f>CC74*$CN$12</f>
        <v>68</v>
      </c>
      <c r="CE74" s="96">
        <f t="shared" ref="CE74:CE80" si="199">CD74-CF74</f>
        <v>38</v>
      </c>
      <c r="CF74" s="84">
        <v>30</v>
      </c>
      <c r="CG74" s="176"/>
      <c r="CH74" s="172">
        <v>15</v>
      </c>
      <c r="CI74" s="87">
        <v>1</v>
      </c>
      <c r="CJ74" s="90">
        <v>3</v>
      </c>
      <c r="CK74" s="453" t="s">
        <v>82</v>
      </c>
      <c r="CL74" s="139"/>
      <c r="CM74" s="14">
        <v>140</v>
      </c>
    </row>
    <row r="75" spans="1:95" ht="33.75" customHeight="1" x14ac:dyDescent="0.25">
      <c r="A75" s="6" t="s">
        <v>146</v>
      </c>
      <c r="B75" s="217" t="s">
        <v>117</v>
      </c>
      <c r="C75" s="251" t="s">
        <v>391</v>
      </c>
      <c r="D75" s="41">
        <f>N75+Y75+AJ75+AU75+BF75+BQ75+CB75</f>
        <v>130</v>
      </c>
      <c r="E75" s="49"/>
      <c r="F75" s="49">
        <f>P75+AA75+AL75+AW75+BH75+BS75+CD75</f>
        <v>126</v>
      </c>
      <c r="G75" s="49">
        <f>Q75+AB75+AM75+AX75+BI75+BT75+CE75</f>
        <v>96</v>
      </c>
      <c r="H75" s="49">
        <f>S75+AD75+AO75+AZ75+BK75+BV75+CG75</f>
        <v>0</v>
      </c>
      <c r="I75" s="49">
        <f>R75+AC75+AN75+AY75+BJ75+BU75+CF75</f>
        <v>30</v>
      </c>
      <c r="J75" s="49">
        <f>T75+AE75+AP75+BA75+BL75+BW75+CH75</f>
        <v>0</v>
      </c>
      <c r="K75" s="49">
        <f>U75+AF75+AQ75+BB75+BM75+BX75+CI75</f>
        <v>1</v>
      </c>
      <c r="L75" s="49">
        <f>V75+AG75+AR75+BC75+BN75+BY75+CJ75</f>
        <v>3</v>
      </c>
      <c r="M75" s="78"/>
      <c r="N75" s="92">
        <f>P75+U75+V75</f>
        <v>0</v>
      </c>
      <c r="O75" s="268"/>
      <c r="P75" s="95">
        <f t="shared" si="189"/>
        <v>0</v>
      </c>
      <c r="Q75" s="96">
        <f t="shared" si="190"/>
        <v>0</v>
      </c>
      <c r="R75" s="84"/>
      <c r="S75" s="176"/>
      <c r="T75" s="172"/>
      <c r="U75" s="87"/>
      <c r="V75" s="90"/>
      <c r="W75" s="182"/>
      <c r="X75" s="78"/>
      <c r="Y75" s="92">
        <f>AA75+AF75+AG75</f>
        <v>0</v>
      </c>
      <c r="Z75" s="268"/>
      <c r="AA75" s="95">
        <f t="shared" si="191"/>
        <v>0</v>
      </c>
      <c r="AB75" s="96">
        <f t="shared" si="192"/>
        <v>0</v>
      </c>
      <c r="AC75" s="84"/>
      <c r="AD75" s="176"/>
      <c r="AE75" s="172"/>
      <c r="AF75" s="87"/>
      <c r="AG75" s="90"/>
      <c r="AH75" s="182"/>
      <c r="AI75" s="78"/>
      <c r="AJ75" s="92">
        <f>AL75+AQ75+AR75</f>
        <v>0</v>
      </c>
      <c r="AK75" s="268"/>
      <c r="AL75" s="95">
        <f t="shared" si="193"/>
        <v>0</v>
      </c>
      <c r="AM75" s="96">
        <f t="shared" si="194"/>
        <v>0</v>
      </c>
      <c r="AN75" s="84"/>
      <c r="AO75" s="176"/>
      <c r="AP75" s="172"/>
      <c r="AQ75" s="87"/>
      <c r="AR75" s="90"/>
      <c r="AS75" s="182"/>
      <c r="AT75" s="78"/>
      <c r="AU75" s="92">
        <f>AW75+BB75+BC75</f>
        <v>0</v>
      </c>
      <c r="AV75" s="268"/>
      <c r="AW75" s="95">
        <f t="shared" si="195"/>
        <v>0</v>
      </c>
      <c r="AX75" s="96">
        <f t="shared" si="196"/>
        <v>0</v>
      </c>
      <c r="AY75" s="84"/>
      <c r="AZ75" s="176"/>
      <c r="BA75" s="172"/>
      <c r="BB75" s="87"/>
      <c r="BC75" s="90"/>
      <c r="BD75" s="182"/>
      <c r="BE75" s="78"/>
      <c r="BF75" s="92">
        <f t="shared" si="188"/>
        <v>0</v>
      </c>
      <c r="BG75" s="268"/>
      <c r="BH75" s="95">
        <f t="shared" ref="BH75:BH77" si="200">BG75*$CN$10</f>
        <v>0</v>
      </c>
      <c r="BI75" s="96">
        <f t="shared" si="197"/>
        <v>0</v>
      </c>
      <c r="BJ75" s="84"/>
      <c r="BK75" s="176"/>
      <c r="BL75" s="172"/>
      <c r="BM75" s="87"/>
      <c r="BN75" s="90"/>
      <c r="BO75" s="182"/>
      <c r="BP75" s="78"/>
      <c r="BQ75" s="92">
        <f>BS75+BX75+BY75</f>
        <v>0</v>
      </c>
      <c r="BR75" s="268"/>
      <c r="BS75" s="324">
        <f>BR75*$CN$11</f>
        <v>0</v>
      </c>
      <c r="BT75" s="96">
        <f t="shared" si="198"/>
        <v>0</v>
      </c>
      <c r="BU75" s="84"/>
      <c r="BV75" s="176"/>
      <c r="BW75" s="172"/>
      <c r="BX75" s="87"/>
      <c r="BY75" s="90"/>
      <c r="BZ75" s="182"/>
      <c r="CA75" s="78"/>
      <c r="CB75" s="92">
        <f>CD75+CI75+CJ75+CH75</f>
        <v>130</v>
      </c>
      <c r="CC75" s="268">
        <f>CD75/17</f>
        <v>7.4117647058823533</v>
      </c>
      <c r="CD75" s="95">
        <v>126</v>
      </c>
      <c r="CE75" s="96">
        <f t="shared" si="199"/>
        <v>96</v>
      </c>
      <c r="CF75" s="84">
        <v>30</v>
      </c>
      <c r="CG75" s="176"/>
      <c r="CH75" s="172"/>
      <c r="CI75" s="87">
        <v>1</v>
      </c>
      <c r="CJ75" s="90">
        <v>3</v>
      </c>
      <c r="CK75" s="454"/>
      <c r="CL75" s="139"/>
      <c r="CM75" s="14">
        <v>125</v>
      </c>
    </row>
    <row r="76" spans="1:95" ht="36" customHeight="1" x14ac:dyDescent="0.25">
      <c r="A76" s="6" t="s">
        <v>278</v>
      </c>
      <c r="B76" s="217" t="s">
        <v>279</v>
      </c>
      <c r="C76" s="599" t="s">
        <v>82</v>
      </c>
      <c r="D76" s="41">
        <f>N76+Y76+AJ76+AU76+BF76+BQ76+CB76</f>
        <v>65</v>
      </c>
      <c r="E76" s="49"/>
      <c r="F76" s="49">
        <f>P76+AA76+AL76+AW76+BH76+BS76+CD76</f>
        <v>60</v>
      </c>
      <c r="G76" s="49">
        <f>Q76+AB76+AM76+AX76+BI76+BT76+CE76</f>
        <v>20</v>
      </c>
      <c r="H76" s="49">
        <f>S76+AD76+AO76+AZ76+BK76+BV76+CG76</f>
        <v>0</v>
      </c>
      <c r="I76" s="49">
        <f>R76+AC76+AN76+AY76+BJ76+BU76+CF76</f>
        <v>40</v>
      </c>
      <c r="J76" s="49">
        <f>T76+AE76+AP76+BA76+BL76+BW76+CH76</f>
        <v>0</v>
      </c>
      <c r="K76" s="49">
        <f>U76+AF76+AQ76+BB76+BM76+BX76+CI76</f>
        <v>2</v>
      </c>
      <c r="L76" s="49">
        <f>V76+AG76+AR76+BC76+BN76+BY76+CJ76</f>
        <v>3</v>
      </c>
      <c r="M76" s="78"/>
      <c r="N76" s="92"/>
      <c r="O76" s="268"/>
      <c r="P76" s="95">
        <f t="shared" si="189"/>
        <v>0</v>
      </c>
      <c r="Q76" s="96">
        <f t="shared" si="190"/>
        <v>0</v>
      </c>
      <c r="R76" s="84"/>
      <c r="S76" s="176"/>
      <c r="T76" s="172"/>
      <c r="U76" s="87"/>
      <c r="V76" s="90"/>
      <c r="W76" s="182"/>
      <c r="X76" s="78"/>
      <c r="Y76" s="92"/>
      <c r="Z76" s="268"/>
      <c r="AA76" s="95">
        <f t="shared" si="191"/>
        <v>0</v>
      </c>
      <c r="AB76" s="96">
        <f t="shared" si="192"/>
        <v>0</v>
      </c>
      <c r="AC76" s="84"/>
      <c r="AD76" s="176"/>
      <c r="AE76" s="172"/>
      <c r="AF76" s="87"/>
      <c r="AG76" s="90"/>
      <c r="AH76" s="182"/>
      <c r="AI76" s="78"/>
      <c r="AJ76" s="92"/>
      <c r="AK76" s="268"/>
      <c r="AL76" s="95">
        <f t="shared" si="193"/>
        <v>0</v>
      </c>
      <c r="AM76" s="96">
        <f t="shared" si="194"/>
        <v>0</v>
      </c>
      <c r="AN76" s="84"/>
      <c r="AO76" s="176"/>
      <c r="AP76" s="172"/>
      <c r="AQ76" s="87"/>
      <c r="AR76" s="90"/>
      <c r="AS76" s="182"/>
      <c r="AT76" s="78"/>
      <c r="AU76" s="92"/>
      <c r="AV76" s="268"/>
      <c r="AW76" s="95">
        <f t="shared" si="195"/>
        <v>0</v>
      </c>
      <c r="AX76" s="96">
        <f t="shared" si="196"/>
        <v>0</v>
      </c>
      <c r="AY76" s="84"/>
      <c r="AZ76" s="176"/>
      <c r="BA76" s="172"/>
      <c r="BB76" s="87"/>
      <c r="BC76" s="90"/>
      <c r="BD76" s="182"/>
      <c r="BE76" s="78"/>
      <c r="BF76" s="92">
        <f t="shared" si="188"/>
        <v>65</v>
      </c>
      <c r="BG76" s="268">
        <v>5</v>
      </c>
      <c r="BH76" s="95">
        <f t="shared" si="200"/>
        <v>60</v>
      </c>
      <c r="BI76" s="96">
        <f t="shared" si="197"/>
        <v>20</v>
      </c>
      <c r="BJ76" s="84">
        <v>40</v>
      </c>
      <c r="BK76" s="176"/>
      <c r="BL76" s="172"/>
      <c r="BM76" s="87">
        <v>2</v>
      </c>
      <c r="BN76" s="90">
        <v>3</v>
      </c>
      <c r="BO76" s="451" t="s">
        <v>82</v>
      </c>
      <c r="BP76" s="78"/>
      <c r="BQ76" s="92">
        <f>BS76+BX76+BY76</f>
        <v>0</v>
      </c>
      <c r="BR76" s="268"/>
      <c r="BS76" s="324">
        <f>BR76*$CN$11</f>
        <v>0</v>
      </c>
      <c r="BT76" s="96">
        <f t="shared" si="198"/>
        <v>0</v>
      </c>
      <c r="BU76" s="84"/>
      <c r="BV76" s="176"/>
      <c r="BW76" s="172"/>
      <c r="BX76" s="87"/>
      <c r="BY76" s="90"/>
      <c r="BZ76" s="460"/>
      <c r="CA76" s="78"/>
      <c r="CB76" s="92">
        <f>CD76+CI76+CJ76</f>
        <v>0</v>
      </c>
      <c r="CC76" s="268"/>
      <c r="CD76" s="95">
        <f>CC76*$CN$12</f>
        <v>0</v>
      </c>
      <c r="CE76" s="96">
        <f t="shared" si="199"/>
        <v>0</v>
      </c>
      <c r="CF76" s="84"/>
      <c r="CG76" s="176"/>
      <c r="CH76" s="172"/>
      <c r="CI76" s="87"/>
      <c r="CJ76" s="90"/>
      <c r="CK76" s="182"/>
      <c r="CL76" s="139"/>
    </row>
    <row r="77" spans="1:95" ht="33.75" customHeight="1" x14ac:dyDescent="0.25">
      <c r="A77" s="6" t="s">
        <v>280</v>
      </c>
      <c r="B77" s="217" t="s">
        <v>282</v>
      </c>
      <c r="C77" s="600"/>
      <c r="D77" s="41">
        <f>N77+Y77+AJ77+AU77+BF77+BQ77+CB77</f>
        <v>131</v>
      </c>
      <c r="E77" s="49"/>
      <c r="F77" s="49">
        <f>P77+AA77+AL77+AW77+BH77+BS77+CD77</f>
        <v>120</v>
      </c>
      <c r="G77" s="49">
        <f>Q77+AB77+AM77+AX77+BI77+BT77+CE77</f>
        <v>40</v>
      </c>
      <c r="H77" s="49">
        <f>S77+AD77+AO77+AZ77+BK77+BV77+CG77</f>
        <v>0</v>
      </c>
      <c r="I77" s="49">
        <f>R77+AC77+AN77+AY77+BJ77+BU77+CF77</f>
        <v>80</v>
      </c>
      <c r="J77" s="49">
        <f>T77+AE77+AP77+BA77+BL77+BW77+CH77</f>
        <v>0</v>
      </c>
      <c r="K77" s="49">
        <f>U77+AF77+AQ77+BB77+BM77+BX77+CI77</f>
        <v>4</v>
      </c>
      <c r="L77" s="49">
        <f>V77+AG77+AR77+BC77+BN77+BY77+CJ77</f>
        <v>7</v>
      </c>
      <c r="M77" s="78"/>
      <c r="N77" s="92"/>
      <c r="O77" s="268"/>
      <c r="P77" s="95">
        <f t="shared" si="189"/>
        <v>0</v>
      </c>
      <c r="Q77" s="96">
        <f t="shared" si="190"/>
        <v>0</v>
      </c>
      <c r="R77" s="84"/>
      <c r="S77" s="176"/>
      <c r="T77" s="172"/>
      <c r="U77" s="87"/>
      <c r="V77" s="90"/>
      <c r="W77" s="182"/>
      <c r="X77" s="78"/>
      <c r="Y77" s="92"/>
      <c r="Z77" s="268"/>
      <c r="AA77" s="95">
        <f t="shared" si="191"/>
        <v>0</v>
      </c>
      <c r="AB77" s="96">
        <f t="shared" si="192"/>
        <v>0</v>
      </c>
      <c r="AC77" s="84"/>
      <c r="AD77" s="176"/>
      <c r="AE77" s="172"/>
      <c r="AF77" s="87"/>
      <c r="AG77" s="90"/>
      <c r="AH77" s="182"/>
      <c r="AI77" s="78"/>
      <c r="AJ77" s="92"/>
      <c r="AK77" s="268"/>
      <c r="AL77" s="95">
        <f t="shared" si="193"/>
        <v>0</v>
      </c>
      <c r="AM77" s="96">
        <f t="shared" si="194"/>
        <v>0</v>
      </c>
      <c r="AN77" s="84"/>
      <c r="AO77" s="176"/>
      <c r="AP77" s="172"/>
      <c r="AQ77" s="87"/>
      <c r="AR77" s="90"/>
      <c r="AS77" s="182"/>
      <c r="AT77" s="78"/>
      <c r="AU77" s="92"/>
      <c r="AV77" s="268"/>
      <c r="AW77" s="95">
        <f t="shared" si="195"/>
        <v>0</v>
      </c>
      <c r="AX77" s="96">
        <f t="shared" si="196"/>
        <v>0</v>
      </c>
      <c r="AY77" s="84"/>
      <c r="AZ77" s="176"/>
      <c r="BA77" s="172"/>
      <c r="BB77" s="87"/>
      <c r="BC77" s="90"/>
      <c r="BD77" s="182"/>
      <c r="BE77" s="78"/>
      <c r="BF77" s="92">
        <f t="shared" si="188"/>
        <v>65</v>
      </c>
      <c r="BG77" s="268">
        <v>5</v>
      </c>
      <c r="BH77" s="95">
        <f t="shared" si="200"/>
        <v>60</v>
      </c>
      <c r="BI77" s="96">
        <f t="shared" si="197"/>
        <v>20</v>
      </c>
      <c r="BJ77" s="84">
        <v>40</v>
      </c>
      <c r="BK77" s="176"/>
      <c r="BL77" s="172"/>
      <c r="BM77" s="87">
        <v>2</v>
      </c>
      <c r="BN77" s="90">
        <v>3</v>
      </c>
      <c r="BO77" s="459"/>
      <c r="BP77" s="78"/>
      <c r="BQ77" s="92"/>
      <c r="BR77" s="268"/>
      <c r="BS77" s="324">
        <f>BR77*$CN$11</f>
        <v>0</v>
      </c>
      <c r="BT77" s="96">
        <f t="shared" si="198"/>
        <v>0</v>
      </c>
      <c r="BU77" s="84"/>
      <c r="BV77" s="176"/>
      <c r="BW77" s="172"/>
      <c r="BX77" s="87"/>
      <c r="BY77" s="90"/>
      <c r="BZ77" s="461"/>
      <c r="CA77" s="78"/>
      <c r="CB77" s="92">
        <f>CD77+CI77+CJ77</f>
        <v>66</v>
      </c>
      <c r="CC77" s="268">
        <f>CD77/17</f>
        <v>3.5294117647058822</v>
      </c>
      <c r="CD77" s="95">
        <v>60</v>
      </c>
      <c r="CE77" s="96">
        <f t="shared" si="199"/>
        <v>20</v>
      </c>
      <c r="CF77" s="84">
        <v>40</v>
      </c>
      <c r="CG77" s="176"/>
      <c r="CH77" s="172"/>
      <c r="CI77" s="87">
        <v>2</v>
      </c>
      <c r="CJ77" s="90">
        <v>4</v>
      </c>
      <c r="CK77" s="338" t="s">
        <v>82</v>
      </c>
      <c r="CL77" s="139"/>
    </row>
    <row r="78" spans="1:95" ht="18" customHeight="1" x14ac:dyDescent="0.25">
      <c r="A78" s="6" t="s">
        <v>147</v>
      </c>
      <c r="B78" s="217" t="s">
        <v>29</v>
      </c>
      <c r="C78" s="238" t="s">
        <v>293</v>
      </c>
      <c r="D78" s="41">
        <f>N78+Y78+AJ78+AU78+BF78+BQ78+CB78</f>
        <v>288</v>
      </c>
      <c r="E78" s="49"/>
      <c r="F78" s="49">
        <f>P78+AA78+AL78+AW78+BH78+BS78+CD78</f>
        <v>288</v>
      </c>
      <c r="G78" s="49">
        <f>Q78+AB78+AM78+AX78+BI78+BT78+CE78</f>
        <v>72</v>
      </c>
      <c r="H78" s="49">
        <f>S78+AD78+AO78+AZ78+BK78+BV78+CG78</f>
        <v>0</v>
      </c>
      <c r="I78" s="49">
        <f>R78+AC78+AN78+AY78+BJ78+BU78+CF78</f>
        <v>144</v>
      </c>
      <c r="J78" s="49">
        <f>T78+AE78+AP78+BA78+BL78+BW78+CH78</f>
        <v>0</v>
      </c>
      <c r="K78" s="49">
        <f>U78+AF78+AQ78+BB78+BM78+BX78+CI78</f>
        <v>0</v>
      </c>
      <c r="L78" s="49">
        <f>V78+AG78+AR78+BC78+BN78+BY78+CJ78</f>
        <v>0</v>
      </c>
      <c r="M78" s="78"/>
      <c r="N78" s="92">
        <f>P78+U78+V78</f>
        <v>0</v>
      </c>
      <c r="O78" s="268"/>
      <c r="P78" s="95">
        <f t="shared" si="189"/>
        <v>0</v>
      </c>
      <c r="Q78" s="96">
        <f t="shared" si="190"/>
        <v>0</v>
      </c>
      <c r="R78" s="84"/>
      <c r="S78" s="176"/>
      <c r="T78" s="172"/>
      <c r="U78" s="87"/>
      <c r="V78" s="90"/>
      <c r="W78" s="182"/>
      <c r="X78" s="78"/>
      <c r="Y78" s="92">
        <f>AA78+AF78+AG78</f>
        <v>0</v>
      </c>
      <c r="Z78" s="268"/>
      <c r="AA78" s="95">
        <f t="shared" si="191"/>
        <v>0</v>
      </c>
      <c r="AB78" s="96">
        <f t="shared" si="192"/>
        <v>0</v>
      </c>
      <c r="AC78" s="84"/>
      <c r="AD78" s="176"/>
      <c r="AE78" s="172"/>
      <c r="AF78" s="87"/>
      <c r="AG78" s="90"/>
      <c r="AH78" s="182"/>
      <c r="AI78" s="78"/>
      <c r="AJ78" s="92">
        <f>AL78+AQ78+AR78</f>
        <v>0</v>
      </c>
      <c r="AK78" s="268"/>
      <c r="AL78" s="95">
        <f t="shared" si="193"/>
        <v>0</v>
      </c>
      <c r="AM78" s="96">
        <f t="shared" si="194"/>
        <v>0</v>
      </c>
      <c r="AN78" s="84"/>
      <c r="AO78" s="176"/>
      <c r="AP78" s="172"/>
      <c r="AQ78" s="87"/>
      <c r="AR78" s="90"/>
      <c r="AS78" s="182"/>
      <c r="AT78" s="78"/>
      <c r="AU78" s="92">
        <f>AW78+BB78+BC78</f>
        <v>0</v>
      </c>
      <c r="AV78" s="268"/>
      <c r="AW78" s="95">
        <f t="shared" si="195"/>
        <v>0</v>
      </c>
      <c r="AX78" s="96">
        <f t="shared" si="196"/>
        <v>0</v>
      </c>
      <c r="AY78" s="84"/>
      <c r="AZ78" s="176"/>
      <c r="BA78" s="172"/>
      <c r="BB78" s="87"/>
      <c r="BC78" s="90"/>
      <c r="BD78" s="182"/>
      <c r="BE78" s="78"/>
      <c r="BF78" s="92">
        <f t="shared" si="188"/>
        <v>72</v>
      </c>
      <c r="BG78" s="268"/>
      <c r="BH78" s="95">
        <v>72</v>
      </c>
      <c r="BI78" s="96"/>
      <c r="BJ78" s="84"/>
      <c r="BK78" s="176"/>
      <c r="BL78" s="172"/>
      <c r="BM78" s="87"/>
      <c r="BN78" s="90"/>
      <c r="BO78" s="182" t="s">
        <v>95</v>
      </c>
      <c r="BP78" s="78"/>
      <c r="BQ78" s="92">
        <f>BS78+BX78+BY78</f>
        <v>72</v>
      </c>
      <c r="BR78" s="268"/>
      <c r="BS78" s="324">
        <v>72</v>
      </c>
      <c r="BT78" s="96">
        <f t="shared" si="198"/>
        <v>72</v>
      </c>
      <c r="BU78" s="84"/>
      <c r="BV78" s="176"/>
      <c r="BW78" s="172"/>
      <c r="BX78" s="87"/>
      <c r="BY78" s="90"/>
      <c r="BZ78" s="182" t="s">
        <v>95</v>
      </c>
      <c r="CA78" s="78"/>
      <c r="CB78" s="92">
        <f>CD78+CI78+CJ78</f>
        <v>144</v>
      </c>
      <c r="CC78" s="268"/>
      <c r="CD78" s="95">
        <v>144</v>
      </c>
      <c r="CE78" s="96">
        <f t="shared" si="199"/>
        <v>0</v>
      </c>
      <c r="CF78" s="84">
        <v>144</v>
      </c>
      <c r="CG78" s="176"/>
      <c r="CH78" s="172"/>
      <c r="CI78" s="87"/>
      <c r="CJ78" s="90"/>
      <c r="CK78" s="182" t="s">
        <v>95</v>
      </c>
      <c r="CL78" s="139"/>
      <c r="CM78" s="15">
        <v>50</v>
      </c>
      <c r="CQ78" s="14">
        <f>CD78/36</f>
        <v>4</v>
      </c>
    </row>
    <row r="79" spans="1:95" ht="32.25" customHeight="1" x14ac:dyDescent="0.25">
      <c r="A79" s="68" t="s">
        <v>148</v>
      </c>
      <c r="B79" s="218" t="s">
        <v>32</v>
      </c>
      <c r="C79" s="314" t="s">
        <v>95</v>
      </c>
      <c r="D79" s="41">
        <f>N79+Y79+AJ79+AU79+BF79+BQ79+CB79</f>
        <v>180</v>
      </c>
      <c r="E79" s="49"/>
      <c r="F79" s="49">
        <f>P79+AA79+AL79+AW79+BH79+BS79+CD79</f>
        <v>180</v>
      </c>
      <c r="G79" s="49"/>
      <c r="H79" s="49"/>
      <c r="I79" s="49"/>
      <c r="J79" s="49"/>
      <c r="K79" s="49"/>
      <c r="L79" s="49"/>
      <c r="M79" s="78"/>
      <c r="N79" s="92"/>
      <c r="O79" s="268"/>
      <c r="P79" s="95"/>
      <c r="Q79" s="96">
        <f t="shared" si="190"/>
        <v>0</v>
      </c>
      <c r="R79" s="84"/>
      <c r="S79" s="176"/>
      <c r="T79" s="172"/>
      <c r="U79" s="87"/>
      <c r="V79" s="90"/>
      <c r="W79" s="182"/>
      <c r="X79" s="78"/>
      <c r="Y79" s="92"/>
      <c r="Z79" s="268"/>
      <c r="AA79" s="95">
        <f t="shared" si="191"/>
        <v>0</v>
      </c>
      <c r="AB79" s="96">
        <f t="shared" si="192"/>
        <v>0</v>
      </c>
      <c r="AC79" s="84"/>
      <c r="AD79" s="176"/>
      <c r="AE79" s="172"/>
      <c r="AF79" s="87"/>
      <c r="AG79" s="90"/>
      <c r="AH79" s="182"/>
      <c r="AI79" s="78"/>
      <c r="AJ79" s="92"/>
      <c r="AK79" s="268"/>
      <c r="AL79" s="95">
        <f t="shared" si="193"/>
        <v>0</v>
      </c>
      <c r="AM79" s="96">
        <f t="shared" si="194"/>
        <v>0</v>
      </c>
      <c r="AN79" s="84"/>
      <c r="AO79" s="176"/>
      <c r="AP79" s="172"/>
      <c r="AQ79" s="87"/>
      <c r="AR79" s="90"/>
      <c r="AS79" s="182"/>
      <c r="AT79" s="78"/>
      <c r="AU79" s="92"/>
      <c r="AV79" s="268"/>
      <c r="AW79" s="95">
        <f t="shared" si="195"/>
        <v>0</v>
      </c>
      <c r="AX79" s="96">
        <f t="shared" si="196"/>
        <v>0</v>
      </c>
      <c r="AY79" s="84"/>
      <c r="AZ79" s="176"/>
      <c r="BA79" s="172"/>
      <c r="BB79" s="87"/>
      <c r="BC79" s="90"/>
      <c r="BD79" s="182"/>
      <c r="BE79" s="78"/>
      <c r="BF79" s="92"/>
      <c r="BG79" s="268"/>
      <c r="BH79" s="95"/>
      <c r="BI79" s="96">
        <f t="shared" si="197"/>
        <v>0</v>
      </c>
      <c r="BJ79" s="84"/>
      <c r="BK79" s="176"/>
      <c r="BL79" s="172"/>
      <c r="BM79" s="87"/>
      <c r="BN79" s="90"/>
      <c r="BO79" s="182"/>
      <c r="BP79" s="78"/>
      <c r="BQ79" s="92"/>
      <c r="BR79" s="268"/>
      <c r="BS79" s="324"/>
      <c r="BT79" s="96">
        <f t="shared" si="198"/>
        <v>0</v>
      </c>
      <c r="BU79" s="84"/>
      <c r="BV79" s="176"/>
      <c r="BW79" s="172"/>
      <c r="BX79" s="87"/>
      <c r="BY79" s="90"/>
      <c r="BZ79" s="182"/>
      <c r="CA79" s="78"/>
      <c r="CB79" s="92">
        <f>CD79+CI79+CJ79</f>
        <v>180</v>
      </c>
      <c r="CC79" s="268"/>
      <c r="CD79" s="95">
        <v>180</v>
      </c>
      <c r="CE79" s="96">
        <f t="shared" si="199"/>
        <v>180</v>
      </c>
      <c r="CF79" s="84"/>
      <c r="CG79" s="176"/>
      <c r="CH79" s="172"/>
      <c r="CI79" s="87"/>
      <c r="CJ79" s="90"/>
      <c r="CK79" s="182" t="s">
        <v>95</v>
      </c>
      <c r="CL79" s="139"/>
      <c r="CM79" s="15"/>
    </row>
    <row r="80" spans="1:95" ht="20.100000000000001" customHeight="1" x14ac:dyDescent="0.25">
      <c r="A80" s="35"/>
      <c r="B80" s="228" t="s">
        <v>296</v>
      </c>
      <c r="C80" s="252" t="s">
        <v>288</v>
      </c>
      <c r="D80" s="41">
        <f>N80+Y80+AJ80+AU80+BF80+BQ80+CB80</f>
        <v>6</v>
      </c>
      <c r="E80" s="194"/>
      <c r="F80" s="49">
        <f>P80+AA80+AL80+AW80+BH80+BS80+CD80</f>
        <v>0</v>
      </c>
      <c r="G80" s="49">
        <f>Q80+AB80+AM80+AX80+BI80+BT80+CE80</f>
        <v>0</v>
      </c>
      <c r="H80" s="49">
        <f>S80+AD80+AO80+AZ80+BK80+BV80+CG80</f>
        <v>0</v>
      </c>
      <c r="I80" s="49">
        <f>R80+AC80+AN80+AY80+BJ80+BU80+CF80</f>
        <v>0</v>
      </c>
      <c r="J80" s="49">
        <f>T80+AE80+AP80+BA80+BL80+BW80+CH80</f>
        <v>0</v>
      </c>
      <c r="K80" s="49">
        <f>U80+AF80+AQ80+BB80+BM80+BX80+CI80</f>
        <v>2</v>
      </c>
      <c r="L80" s="49">
        <f>V80+AG80+AR80+BC80+BN80+BY80+CJ80</f>
        <v>4</v>
      </c>
      <c r="M80" s="78"/>
      <c r="N80" s="92">
        <f>P80+U80+V80</f>
        <v>0</v>
      </c>
      <c r="O80" s="268"/>
      <c r="P80" s="95"/>
      <c r="Q80" s="96">
        <f t="shared" si="190"/>
        <v>0</v>
      </c>
      <c r="R80" s="84"/>
      <c r="S80" s="176"/>
      <c r="T80" s="172"/>
      <c r="U80" s="87"/>
      <c r="V80" s="90"/>
      <c r="W80" s="182"/>
      <c r="X80" s="78"/>
      <c r="Y80" s="92">
        <f>AA80+AF80+AG80</f>
        <v>0</v>
      </c>
      <c r="Z80" s="268"/>
      <c r="AA80" s="95">
        <f t="shared" si="191"/>
        <v>0</v>
      </c>
      <c r="AB80" s="96">
        <f t="shared" si="192"/>
        <v>0</v>
      </c>
      <c r="AC80" s="84"/>
      <c r="AD80" s="176"/>
      <c r="AE80" s="172"/>
      <c r="AF80" s="87"/>
      <c r="AG80" s="90"/>
      <c r="AH80" s="182"/>
      <c r="AI80" s="78"/>
      <c r="AJ80" s="92">
        <f>AL80+AQ80+AR80</f>
        <v>0</v>
      </c>
      <c r="AK80" s="268"/>
      <c r="AL80" s="95">
        <f t="shared" si="193"/>
        <v>0</v>
      </c>
      <c r="AM80" s="96">
        <f t="shared" si="194"/>
        <v>0</v>
      </c>
      <c r="AN80" s="84"/>
      <c r="AO80" s="176"/>
      <c r="AP80" s="172"/>
      <c r="AQ80" s="87"/>
      <c r="AR80" s="90"/>
      <c r="AS80" s="182"/>
      <c r="AT80" s="78"/>
      <c r="AU80" s="92">
        <f>AW80+BB80+BC80</f>
        <v>0</v>
      </c>
      <c r="AV80" s="268"/>
      <c r="AW80" s="95">
        <f t="shared" si="195"/>
        <v>0</v>
      </c>
      <c r="AX80" s="96">
        <f t="shared" si="196"/>
        <v>0</v>
      </c>
      <c r="AY80" s="84"/>
      <c r="AZ80" s="176"/>
      <c r="BA80" s="172"/>
      <c r="BB80" s="87"/>
      <c r="BC80" s="90"/>
      <c r="BD80" s="182"/>
      <c r="BE80" s="78"/>
      <c r="BF80" s="92">
        <f>BH80+BM80+BN80</f>
        <v>0</v>
      </c>
      <c r="BG80" s="268"/>
      <c r="BH80" s="95">
        <f>BG80*$CN$10</f>
        <v>0</v>
      </c>
      <c r="BI80" s="96">
        <f t="shared" si="197"/>
        <v>0</v>
      </c>
      <c r="BJ80" s="84"/>
      <c r="BK80" s="176"/>
      <c r="BL80" s="172"/>
      <c r="BM80" s="87"/>
      <c r="BN80" s="90"/>
      <c r="BO80" s="182"/>
      <c r="BP80" s="78"/>
      <c r="BQ80" s="92">
        <f>BS80+BX80+BY80</f>
        <v>0</v>
      </c>
      <c r="BR80" s="268"/>
      <c r="BS80" s="324">
        <f>BR80*$CN$11</f>
        <v>0</v>
      </c>
      <c r="BT80" s="96">
        <f t="shared" si="198"/>
        <v>0</v>
      </c>
      <c r="BU80" s="84"/>
      <c r="BV80" s="176"/>
      <c r="BW80" s="172"/>
      <c r="BX80" s="87"/>
      <c r="BY80" s="90"/>
      <c r="BZ80" s="182"/>
      <c r="CA80" s="78"/>
      <c r="CB80" s="92">
        <f>CI80+CJ80</f>
        <v>6</v>
      </c>
      <c r="CC80" s="268"/>
      <c r="CD80" s="95"/>
      <c r="CE80" s="96">
        <f t="shared" si="199"/>
        <v>0</v>
      </c>
      <c r="CF80" s="84"/>
      <c r="CG80" s="176"/>
      <c r="CH80" s="172"/>
      <c r="CI80" s="87">
        <v>2</v>
      </c>
      <c r="CJ80" s="90">
        <v>4</v>
      </c>
      <c r="CK80" s="182" t="s">
        <v>288</v>
      </c>
      <c r="CL80" s="139"/>
      <c r="CM80" s="15">
        <v>75</v>
      </c>
    </row>
    <row r="81" spans="1:95" ht="9" customHeight="1" x14ac:dyDescent="0.25">
      <c r="A81" s="101"/>
      <c r="B81" s="219"/>
      <c r="C81" s="253"/>
      <c r="D81" s="195"/>
      <c r="E81" s="98"/>
      <c r="F81" s="98"/>
      <c r="G81" s="98"/>
      <c r="H81" s="98"/>
      <c r="I81" s="98"/>
      <c r="J81" s="98"/>
      <c r="K81" s="98"/>
      <c r="L81" s="98"/>
      <c r="M81" s="78"/>
      <c r="N81" s="77"/>
      <c r="O81" s="266"/>
      <c r="P81" s="77"/>
      <c r="Q81" s="77"/>
      <c r="R81" s="78"/>
      <c r="S81" s="78"/>
      <c r="T81" s="78"/>
      <c r="U81" s="78"/>
      <c r="V81" s="78"/>
      <c r="W81" s="78"/>
      <c r="X81" s="78"/>
      <c r="Y81" s="77"/>
      <c r="Z81" s="266"/>
      <c r="AA81" s="77"/>
      <c r="AB81" s="77"/>
      <c r="AC81" s="78"/>
      <c r="AD81" s="78"/>
      <c r="AE81" s="78"/>
      <c r="AF81" s="78"/>
      <c r="AG81" s="78"/>
      <c r="AH81" s="78"/>
      <c r="AI81" s="78"/>
      <c r="AJ81" s="77"/>
      <c r="AK81" s="266"/>
      <c r="AL81" s="77"/>
      <c r="AM81" s="77"/>
      <c r="AN81" s="78"/>
      <c r="AO81" s="78"/>
      <c r="AP81" s="78"/>
      <c r="AQ81" s="78"/>
      <c r="AR81" s="78"/>
      <c r="AS81" s="78"/>
      <c r="AT81" s="78"/>
      <c r="AU81" s="77"/>
      <c r="AV81" s="266"/>
      <c r="AW81" s="77"/>
      <c r="AX81" s="77"/>
      <c r="AY81" s="78"/>
      <c r="AZ81" s="78"/>
      <c r="BA81" s="78"/>
      <c r="BB81" s="78"/>
      <c r="BC81" s="78"/>
      <c r="BD81" s="78"/>
      <c r="BE81" s="78"/>
      <c r="BF81" s="77"/>
      <c r="BG81" s="266"/>
      <c r="BH81" s="77"/>
      <c r="BI81" s="77"/>
      <c r="BJ81" s="78"/>
      <c r="BK81" s="78"/>
      <c r="BL81" s="78"/>
      <c r="BM81" s="78"/>
      <c r="BN81" s="78"/>
      <c r="BO81" s="78"/>
      <c r="BP81" s="78"/>
      <c r="BQ81" s="77"/>
      <c r="BR81" s="266"/>
      <c r="BS81" s="293"/>
      <c r="BT81" s="77"/>
      <c r="BU81" s="78"/>
      <c r="BV81" s="78"/>
      <c r="BW81" s="78"/>
      <c r="BX81" s="78"/>
      <c r="BY81" s="78"/>
      <c r="BZ81" s="78"/>
      <c r="CA81" s="78"/>
      <c r="CB81" s="77"/>
      <c r="CC81" s="266"/>
      <c r="CD81" s="77"/>
      <c r="CE81" s="77"/>
      <c r="CF81" s="78"/>
      <c r="CG81" s="78"/>
      <c r="CH81" s="78"/>
      <c r="CI81" s="78"/>
      <c r="CJ81" s="78"/>
      <c r="CK81" s="78"/>
      <c r="CL81" s="139"/>
    </row>
    <row r="82" spans="1:95" ht="31.5" customHeight="1" x14ac:dyDescent="0.25">
      <c r="A82" s="110" t="s">
        <v>149</v>
      </c>
      <c r="B82" s="216" t="s">
        <v>233</v>
      </c>
      <c r="C82" s="245"/>
      <c r="D82" s="188">
        <f>N82+Y82+AJ82+AU82+BF82+BQ82+CB82</f>
        <v>519</v>
      </c>
      <c r="E82" s="112"/>
      <c r="F82" s="112">
        <f>P82+AA82+AL82+AW82+BH82+BS82+CD82</f>
        <v>493</v>
      </c>
      <c r="G82" s="112">
        <f>Q82+AB82+AM82+AX82+BI82+BT82+CE82</f>
        <v>229</v>
      </c>
      <c r="H82" s="112">
        <f>S82+AD82+AO82+AZ82+BK82+BV82+CG82</f>
        <v>0</v>
      </c>
      <c r="I82" s="112">
        <f>R82+AC82+AN82+AY82+BJ82+BU82+CF82</f>
        <v>264</v>
      </c>
      <c r="J82" s="112">
        <f>T82+AE82+AP82+BA82+BL82+BW82+CH82</f>
        <v>20</v>
      </c>
      <c r="K82" s="112">
        <f>U82+AF82+AQ82+BB82+BM82+BX82+CI82</f>
        <v>10</v>
      </c>
      <c r="L82" s="112">
        <f>V82+AG82+AR82+BC82+BN82+BY82+CJ82</f>
        <v>16</v>
      </c>
      <c r="M82" s="79"/>
      <c r="N82" s="112">
        <f>SUM(N83:N89)</f>
        <v>0</v>
      </c>
      <c r="O82" s="267">
        <f t="shared" ref="O82:V82" si="201">SUM(O83:O89)</f>
        <v>0</v>
      </c>
      <c r="P82" s="112">
        <f t="shared" si="201"/>
        <v>0</v>
      </c>
      <c r="Q82" s="112">
        <f t="shared" si="201"/>
        <v>0</v>
      </c>
      <c r="R82" s="112">
        <f t="shared" si="201"/>
        <v>0</v>
      </c>
      <c r="S82" s="112">
        <f t="shared" si="201"/>
        <v>0</v>
      </c>
      <c r="T82" s="112">
        <f t="shared" si="201"/>
        <v>0</v>
      </c>
      <c r="U82" s="112">
        <f t="shared" si="201"/>
        <v>0</v>
      </c>
      <c r="V82" s="112">
        <f t="shared" si="201"/>
        <v>0</v>
      </c>
      <c r="W82" s="112"/>
      <c r="X82" s="79"/>
      <c r="Y82" s="112">
        <f>SUM(Y83:Y89)</f>
        <v>0</v>
      </c>
      <c r="Z82" s="267">
        <f t="shared" ref="Z82:AG82" si="202">SUM(Z83:Z89)</f>
        <v>0</v>
      </c>
      <c r="AA82" s="112">
        <f t="shared" si="202"/>
        <v>0</v>
      </c>
      <c r="AB82" s="112">
        <f t="shared" si="202"/>
        <v>0</v>
      </c>
      <c r="AC82" s="112">
        <f t="shared" si="202"/>
        <v>0</v>
      </c>
      <c r="AD82" s="112">
        <f t="shared" si="202"/>
        <v>0</v>
      </c>
      <c r="AE82" s="112">
        <f t="shared" si="202"/>
        <v>0</v>
      </c>
      <c r="AF82" s="112">
        <f t="shared" si="202"/>
        <v>0</v>
      </c>
      <c r="AG82" s="112">
        <f t="shared" si="202"/>
        <v>0</v>
      </c>
      <c r="AH82" s="112"/>
      <c r="AI82" s="79"/>
      <c r="AJ82" s="112">
        <f>SUM(AJ83:AJ89)</f>
        <v>53</v>
      </c>
      <c r="AK82" s="267">
        <f t="shared" ref="AK82:AR82" si="203">SUM(AK83:AK89)</f>
        <v>3.5333333333333332</v>
      </c>
      <c r="AL82" s="112">
        <f t="shared" si="203"/>
        <v>53</v>
      </c>
      <c r="AM82" s="112">
        <f t="shared" si="203"/>
        <v>43</v>
      </c>
      <c r="AN82" s="112">
        <f t="shared" si="203"/>
        <v>10</v>
      </c>
      <c r="AO82" s="112">
        <f t="shared" si="203"/>
        <v>0</v>
      </c>
      <c r="AP82" s="112">
        <f t="shared" si="203"/>
        <v>0</v>
      </c>
      <c r="AQ82" s="112">
        <f t="shared" si="203"/>
        <v>0</v>
      </c>
      <c r="AR82" s="112">
        <f t="shared" si="203"/>
        <v>0</v>
      </c>
      <c r="AS82" s="112"/>
      <c r="AT82" s="77"/>
      <c r="AU82" s="112">
        <f>SUM(AU83:AU89)</f>
        <v>40</v>
      </c>
      <c r="AV82" s="267">
        <f t="shared" ref="AV82:BC82" si="204">SUM(AV83:AV89)</f>
        <v>2</v>
      </c>
      <c r="AW82" s="112">
        <f t="shared" si="204"/>
        <v>40</v>
      </c>
      <c r="AX82" s="112">
        <f t="shared" si="204"/>
        <v>20</v>
      </c>
      <c r="AY82" s="112">
        <f t="shared" si="204"/>
        <v>20</v>
      </c>
      <c r="AZ82" s="112">
        <f t="shared" si="204"/>
        <v>0</v>
      </c>
      <c r="BA82" s="112">
        <f t="shared" si="204"/>
        <v>0</v>
      </c>
      <c r="BB82" s="112">
        <f t="shared" si="204"/>
        <v>0</v>
      </c>
      <c r="BC82" s="112">
        <f t="shared" si="204"/>
        <v>0</v>
      </c>
      <c r="BD82" s="112"/>
      <c r="BE82" s="77"/>
      <c r="BF82" s="112">
        <f>SUM(BF83:BF89)</f>
        <v>72</v>
      </c>
      <c r="BG82" s="267">
        <f t="shared" ref="BG82:BN82" si="205">SUM(BG83:BG89)</f>
        <v>6</v>
      </c>
      <c r="BH82" s="112">
        <f t="shared" si="205"/>
        <v>72</v>
      </c>
      <c r="BI82" s="112">
        <f t="shared" si="205"/>
        <v>42</v>
      </c>
      <c r="BJ82" s="112">
        <f t="shared" si="205"/>
        <v>30</v>
      </c>
      <c r="BK82" s="112">
        <f t="shared" si="205"/>
        <v>0</v>
      </c>
      <c r="BL82" s="112">
        <f t="shared" si="205"/>
        <v>0</v>
      </c>
      <c r="BM82" s="112">
        <f t="shared" si="205"/>
        <v>0</v>
      </c>
      <c r="BN82" s="112">
        <f t="shared" si="205"/>
        <v>0</v>
      </c>
      <c r="BO82" s="112"/>
      <c r="BP82" s="79"/>
      <c r="BQ82" s="112">
        <f>SUM(BQ83:BQ89)</f>
        <v>354</v>
      </c>
      <c r="BR82" s="267">
        <f>SUM(BR83:BR89)</f>
        <v>10.222222222222221</v>
      </c>
      <c r="BS82" s="267">
        <f t="shared" ref="BS82:BY82" si="206">SUM(BS83:BS89)</f>
        <v>328</v>
      </c>
      <c r="BT82" s="112">
        <f t="shared" si="206"/>
        <v>124</v>
      </c>
      <c r="BU82" s="112">
        <f t="shared" si="206"/>
        <v>204</v>
      </c>
      <c r="BV82" s="112">
        <f t="shared" si="206"/>
        <v>0</v>
      </c>
      <c r="BW82" s="112">
        <f t="shared" si="206"/>
        <v>20</v>
      </c>
      <c r="BX82" s="112">
        <f t="shared" si="206"/>
        <v>10</v>
      </c>
      <c r="BY82" s="112">
        <f t="shared" si="206"/>
        <v>16</v>
      </c>
      <c r="BZ82" s="112" t="s">
        <v>288</v>
      </c>
      <c r="CA82" s="79"/>
      <c r="CB82" s="112">
        <f>SUM(CB83:CB89)</f>
        <v>0</v>
      </c>
      <c r="CC82" s="267">
        <f t="shared" ref="CC82:CJ82" si="207">SUM(CC83:CC89)</f>
        <v>0</v>
      </c>
      <c r="CD82" s="112">
        <f t="shared" si="207"/>
        <v>0</v>
      </c>
      <c r="CE82" s="112">
        <f t="shared" si="207"/>
        <v>0</v>
      </c>
      <c r="CF82" s="112">
        <f t="shared" si="207"/>
        <v>0</v>
      </c>
      <c r="CG82" s="112">
        <f t="shared" si="207"/>
        <v>0</v>
      </c>
      <c r="CH82" s="112">
        <f t="shared" si="207"/>
        <v>0</v>
      </c>
      <c r="CI82" s="112">
        <f t="shared" si="207"/>
        <v>0</v>
      </c>
      <c r="CJ82" s="112">
        <f t="shared" si="207"/>
        <v>0</v>
      </c>
      <c r="CK82" s="112"/>
      <c r="CL82" s="131"/>
    </row>
    <row r="83" spans="1:95" ht="21.75" customHeight="1" x14ac:dyDescent="0.25">
      <c r="A83" s="13" t="s">
        <v>150</v>
      </c>
      <c r="B83" s="217" t="s">
        <v>118</v>
      </c>
      <c r="C83" s="449" t="s">
        <v>294</v>
      </c>
      <c r="D83" s="41">
        <f>N83+Y83+AJ83+AU83+BF83+BQ83+CB83</f>
        <v>98</v>
      </c>
      <c r="E83" s="49"/>
      <c r="F83" s="49">
        <f>P83+AA83+AL83+AW83+BH83+BS83+CD83</f>
        <v>94</v>
      </c>
      <c r="G83" s="49">
        <f>Q83+AB83+AM83+AX83+BI83+BT83+CE83</f>
        <v>64</v>
      </c>
      <c r="H83" s="49">
        <f>S83+AD83+AO83+AZ83+BK83+BV83+CG83</f>
        <v>0</v>
      </c>
      <c r="I83" s="49">
        <f>R83+AC83+AN83+AY83+BJ83+BU83+CF83</f>
        <v>30</v>
      </c>
      <c r="J83" s="49">
        <f>T83+AE83+AP83+BA83+BL83+BW83+CH83</f>
        <v>20</v>
      </c>
      <c r="K83" s="49">
        <f>U83+AF83+AQ83+BB83+BM83+BX83+CI83</f>
        <v>2</v>
      </c>
      <c r="L83" s="49">
        <f>V83+AG83+AR83+BC83+BN83+BY83+CJ83</f>
        <v>2</v>
      </c>
      <c r="M83" s="78"/>
      <c r="N83" s="92">
        <f>P83+U83+V83</f>
        <v>0</v>
      </c>
      <c r="O83" s="268"/>
      <c r="P83" s="95">
        <f t="shared" ref="P83:P89" si="208">O83*$CN$9</f>
        <v>0</v>
      </c>
      <c r="Q83" s="96">
        <f>P83-R83</f>
        <v>0</v>
      </c>
      <c r="R83" s="84"/>
      <c r="S83" s="176"/>
      <c r="T83" s="172"/>
      <c r="U83" s="87"/>
      <c r="V83" s="90"/>
      <c r="W83" s="182"/>
      <c r="X83" s="78"/>
      <c r="Y83" s="92">
        <f>AA83+AF83+AG83</f>
        <v>0</v>
      </c>
      <c r="Z83" s="268"/>
      <c r="AA83" s="95">
        <f>Z83*$CN$9</f>
        <v>0</v>
      </c>
      <c r="AB83" s="96">
        <f>AA83-AC83</f>
        <v>0</v>
      </c>
      <c r="AC83" s="84"/>
      <c r="AD83" s="176"/>
      <c r="AE83" s="172"/>
      <c r="AF83" s="87"/>
      <c r="AG83" s="90"/>
      <c r="AH83" s="182"/>
      <c r="AI83" s="78"/>
      <c r="AJ83" s="92">
        <f>AL83+AQ83+AR83</f>
        <v>0</v>
      </c>
      <c r="AK83" s="268"/>
      <c r="AL83" s="95">
        <f>AK83*$CN$8</f>
        <v>0</v>
      </c>
      <c r="AM83" s="96">
        <f>AL83-AN83</f>
        <v>0</v>
      </c>
      <c r="AN83" s="84"/>
      <c r="AO83" s="176"/>
      <c r="AP83" s="172"/>
      <c r="AQ83" s="87"/>
      <c r="AR83" s="90"/>
      <c r="AS83" s="182"/>
      <c r="AT83" s="78"/>
      <c r="AU83" s="92">
        <f>AW83+BB83+BC83</f>
        <v>0</v>
      </c>
      <c r="AV83" s="268"/>
      <c r="AW83" s="95">
        <f>AV83*$CN$9</f>
        <v>0</v>
      </c>
      <c r="AX83" s="96">
        <f>AW83-AY83</f>
        <v>0</v>
      </c>
      <c r="AY83" s="84"/>
      <c r="AZ83" s="176"/>
      <c r="BA83" s="172"/>
      <c r="BB83" s="87"/>
      <c r="BC83" s="90"/>
      <c r="BD83" s="182"/>
      <c r="BE83" s="78"/>
      <c r="BF83" s="92">
        <f>BH83+BM83+BN83</f>
        <v>24</v>
      </c>
      <c r="BG83" s="268">
        <v>2</v>
      </c>
      <c r="BH83" s="95">
        <f>BG83*$CN$10</f>
        <v>24</v>
      </c>
      <c r="BI83" s="96">
        <f>BH83-BJ83</f>
        <v>14</v>
      </c>
      <c r="BJ83" s="84">
        <v>10</v>
      </c>
      <c r="BK83" s="176"/>
      <c r="BL83" s="172"/>
      <c r="BM83" s="87"/>
      <c r="BN83" s="90"/>
      <c r="BO83" s="182" t="s">
        <v>237</v>
      </c>
      <c r="BP83" s="79"/>
      <c r="BQ83" s="92">
        <f t="shared" ref="BQ83:BQ89" si="209">BS83+BX83+BY83</f>
        <v>74</v>
      </c>
      <c r="BR83" s="268">
        <f>BS83/18</f>
        <v>3.8888888888888888</v>
      </c>
      <c r="BS83" s="324">
        <v>70</v>
      </c>
      <c r="BT83" s="96">
        <f>BS83-BU83</f>
        <v>50</v>
      </c>
      <c r="BU83" s="84">
        <v>20</v>
      </c>
      <c r="BV83" s="176"/>
      <c r="BW83" s="172">
        <v>20</v>
      </c>
      <c r="BX83" s="87">
        <v>2</v>
      </c>
      <c r="BY83" s="90">
        <v>2</v>
      </c>
      <c r="BZ83" s="451" t="s">
        <v>82</v>
      </c>
      <c r="CA83" s="79"/>
      <c r="CB83" s="92">
        <f>CD83+CI83+CJ83</f>
        <v>0</v>
      </c>
      <c r="CC83" s="268"/>
      <c r="CD83" s="95">
        <f>CC83*$CN$12</f>
        <v>0</v>
      </c>
      <c r="CE83" s="96">
        <f>CD83-CF83</f>
        <v>0</v>
      </c>
      <c r="CF83" s="84"/>
      <c r="CG83" s="176"/>
      <c r="CH83" s="172"/>
      <c r="CI83" s="87"/>
      <c r="CJ83" s="90"/>
      <c r="CK83" s="182"/>
      <c r="CL83" s="139"/>
      <c r="CM83" s="14">
        <v>90</v>
      </c>
    </row>
    <row r="84" spans="1:95" ht="39.75" customHeight="1" x14ac:dyDescent="0.25">
      <c r="A84" s="6" t="s">
        <v>151</v>
      </c>
      <c r="B84" s="217" t="s">
        <v>119</v>
      </c>
      <c r="C84" s="450"/>
      <c r="D84" s="41">
        <f>N84+Y84+AJ84+AU84+BF84+BQ84+CB84</f>
        <v>114</v>
      </c>
      <c r="E84" s="49"/>
      <c r="F84" s="49">
        <f>P84+AA84+AL84+AW84+BH84+BS84+CD84</f>
        <v>108</v>
      </c>
      <c r="G84" s="49">
        <f>Q84+AB84+AM84+AX84+BI84+BT84+CE84</f>
        <v>68</v>
      </c>
      <c r="H84" s="49">
        <f>S84+AD84+AO84+AZ84+BK84+BV84+CG84</f>
        <v>0</v>
      </c>
      <c r="I84" s="49">
        <f>R84+AC84+AN84+AY84+BJ84+BU84+CF84</f>
        <v>40</v>
      </c>
      <c r="J84" s="49">
        <f>T84+AE84+AP84+BA84+BL84+BW84+CH84</f>
        <v>0</v>
      </c>
      <c r="K84" s="49">
        <f>U84+AF84+AQ84+BB84+BM84+BX84+CI84</f>
        <v>2</v>
      </c>
      <c r="L84" s="49">
        <f>V84+AG84+AR84+BC84+BN84+BY84+CJ84</f>
        <v>4</v>
      </c>
      <c r="M84" s="78"/>
      <c r="N84" s="92">
        <f>P84+U84+V84</f>
        <v>0</v>
      </c>
      <c r="O84" s="268"/>
      <c r="P84" s="95">
        <f t="shared" si="208"/>
        <v>0</v>
      </c>
      <c r="Q84" s="96">
        <f t="shared" ref="Q84:Q89" si="210">P84-R84</f>
        <v>0</v>
      </c>
      <c r="R84" s="84"/>
      <c r="S84" s="176"/>
      <c r="T84" s="172"/>
      <c r="U84" s="87"/>
      <c r="V84" s="90"/>
      <c r="W84" s="182"/>
      <c r="X84" s="78"/>
      <c r="Y84" s="92">
        <f>AA84+AF84+AG84</f>
        <v>0</v>
      </c>
      <c r="Z84" s="268"/>
      <c r="AA84" s="95">
        <f t="shared" ref="AA84:AA89" si="211">Z84*$CN$9</f>
        <v>0</v>
      </c>
      <c r="AB84" s="96">
        <f t="shared" ref="AB84:AB89" si="212">AA84-AC84</f>
        <v>0</v>
      </c>
      <c r="AC84" s="84"/>
      <c r="AD84" s="176"/>
      <c r="AE84" s="172"/>
      <c r="AF84" s="87"/>
      <c r="AG84" s="90"/>
      <c r="AH84" s="182"/>
      <c r="AI84" s="78"/>
      <c r="AJ84" s="92">
        <f>AL84+AQ84+AR84</f>
        <v>0</v>
      </c>
      <c r="AK84" s="268"/>
      <c r="AL84" s="95">
        <f>AK84*$CN$8</f>
        <v>0</v>
      </c>
      <c r="AM84" s="96">
        <f t="shared" ref="AM84:AM89" si="213">AL84-AN84</f>
        <v>0</v>
      </c>
      <c r="AN84" s="84"/>
      <c r="AO84" s="176"/>
      <c r="AP84" s="172"/>
      <c r="AQ84" s="87"/>
      <c r="AR84" s="90"/>
      <c r="AS84" s="182"/>
      <c r="AT84" s="78"/>
      <c r="AU84" s="92">
        <f>AW84+BB84+BC84</f>
        <v>0</v>
      </c>
      <c r="AV84" s="268"/>
      <c r="AW84" s="95">
        <f>AV84*$CN$9</f>
        <v>0</v>
      </c>
      <c r="AX84" s="96">
        <f t="shared" ref="AX84:AX89" si="214">AW84-AY84</f>
        <v>0</v>
      </c>
      <c r="AY84" s="84"/>
      <c r="AZ84" s="176"/>
      <c r="BA84" s="172"/>
      <c r="BB84" s="87"/>
      <c r="BC84" s="90"/>
      <c r="BD84" s="182"/>
      <c r="BE84" s="78"/>
      <c r="BF84" s="92">
        <f>BH84+BM84+BN84</f>
        <v>48</v>
      </c>
      <c r="BG84" s="268">
        <v>4</v>
      </c>
      <c r="BH84" s="95">
        <f t="shared" ref="BH84:BH89" si="215">BG84*$CN$10</f>
        <v>48</v>
      </c>
      <c r="BI84" s="96">
        <f t="shared" ref="BI84:BI89" si="216">BH84-BJ84</f>
        <v>28</v>
      </c>
      <c r="BJ84" s="84">
        <v>20</v>
      </c>
      <c r="BK84" s="176"/>
      <c r="BL84" s="172"/>
      <c r="BM84" s="87"/>
      <c r="BN84" s="90"/>
      <c r="BO84" s="182" t="s">
        <v>237</v>
      </c>
      <c r="BP84" s="79"/>
      <c r="BQ84" s="92">
        <f t="shared" si="209"/>
        <v>66</v>
      </c>
      <c r="BR84" s="268">
        <f>BS84/18</f>
        <v>3.3333333333333335</v>
      </c>
      <c r="BS84" s="324">
        <v>60</v>
      </c>
      <c r="BT84" s="96">
        <f t="shared" ref="BT84:BT89" si="217">BS84-BU84</f>
        <v>40</v>
      </c>
      <c r="BU84" s="84">
        <v>20</v>
      </c>
      <c r="BV84" s="176"/>
      <c r="BW84" s="172"/>
      <c r="BX84" s="87">
        <v>2</v>
      </c>
      <c r="BY84" s="90">
        <v>4</v>
      </c>
      <c r="BZ84" s="452"/>
      <c r="CA84" s="79"/>
      <c r="CB84" s="92">
        <f>CD84+CI84+CJ84</f>
        <v>0</v>
      </c>
      <c r="CC84" s="268"/>
      <c r="CD84" s="95">
        <f t="shared" ref="CD84:CD89" si="218">CC84*$CN$12</f>
        <v>0</v>
      </c>
      <c r="CE84" s="96">
        <f t="shared" ref="CE84:CE89" si="219">CD84-CF84</f>
        <v>0</v>
      </c>
      <c r="CF84" s="84"/>
      <c r="CG84" s="176"/>
      <c r="CH84" s="172"/>
      <c r="CI84" s="87"/>
      <c r="CJ84" s="90"/>
      <c r="CK84" s="182"/>
      <c r="CL84" s="139"/>
      <c r="CM84" s="14">
        <v>90</v>
      </c>
    </row>
    <row r="85" spans="1:95" ht="34.5" customHeight="1" x14ac:dyDescent="0.25">
      <c r="A85" s="13" t="s">
        <v>152</v>
      </c>
      <c r="B85" s="217" t="s">
        <v>23</v>
      </c>
      <c r="C85" s="238" t="s">
        <v>361</v>
      </c>
      <c r="D85" s="41">
        <f>N85+Y85+AJ85+AU85+BF85+BQ85+CB85</f>
        <v>93</v>
      </c>
      <c r="E85" s="49"/>
      <c r="F85" s="49">
        <f>P85+AA85+AL85+AW85+BH85+BS85+CD85</f>
        <v>93</v>
      </c>
      <c r="G85" s="49">
        <f>Q85+AB85+AM85+AX85+BI85+BT85+CE85</f>
        <v>63</v>
      </c>
      <c r="H85" s="49">
        <f>S85+AD85+AO85+AZ85+BK85+BV85+CG85</f>
        <v>0</v>
      </c>
      <c r="I85" s="49">
        <f>R85+AC85+AN85+AY85+BJ85+BU85+CF85</f>
        <v>30</v>
      </c>
      <c r="J85" s="49">
        <f>T85+AE85+AP85+BA85+BL85+BW85+CH85</f>
        <v>0</v>
      </c>
      <c r="K85" s="49">
        <f>U85+AF85+AQ85+BB85+BM85+BX85+CI85</f>
        <v>0</v>
      </c>
      <c r="L85" s="49">
        <f>V85+AG85+AR85+BC85+BN85+BY85+CJ85</f>
        <v>0</v>
      </c>
      <c r="M85" s="78"/>
      <c r="N85" s="92">
        <f>P85+U85+V85</f>
        <v>0</v>
      </c>
      <c r="O85" s="268"/>
      <c r="P85" s="95">
        <f t="shared" si="208"/>
        <v>0</v>
      </c>
      <c r="Q85" s="96">
        <f t="shared" si="210"/>
        <v>0</v>
      </c>
      <c r="R85" s="84"/>
      <c r="S85" s="176"/>
      <c r="T85" s="172"/>
      <c r="U85" s="87"/>
      <c r="V85" s="90"/>
      <c r="W85" s="182"/>
      <c r="X85" s="78"/>
      <c r="Y85" s="92">
        <f>AA85+AF85+AG85</f>
        <v>0</v>
      </c>
      <c r="Z85" s="268"/>
      <c r="AA85" s="95">
        <f t="shared" si="211"/>
        <v>0</v>
      </c>
      <c r="AB85" s="96">
        <f t="shared" si="212"/>
        <v>0</v>
      </c>
      <c r="AC85" s="84"/>
      <c r="AD85" s="176"/>
      <c r="AE85" s="172"/>
      <c r="AF85" s="87"/>
      <c r="AG85" s="90"/>
      <c r="AH85" s="182"/>
      <c r="AI85" s="78"/>
      <c r="AJ85" s="92">
        <f>AL85+AQ85+AR85</f>
        <v>53</v>
      </c>
      <c r="AK85" s="268">
        <f>AL85/15</f>
        <v>3.5333333333333332</v>
      </c>
      <c r="AL85" s="95">
        <v>53</v>
      </c>
      <c r="AM85" s="96">
        <f t="shared" si="213"/>
        <v>43</v>
      </c>
      <c r="AN85" s="84">
        <v>10</v>
      </c>
      <c r="AO85" s="176"/>
      <c r="AP85" s="172"/>
      <c r="AQ85" s="87"/>
      <c r="AR85" s="90"/>
      <c r="AS85" s="182" t="s">
        <v>237</v>
      </c>
      <c r="AT85" s="78"/>
      <c r="AU85" s="92">
        <f>AW85+BB85+BC85</f>
        <v>40</v>
      </c>
      <c r="AV85" s="268">
        <v>2</v>
      </c>
      <c r="AW85" s="95">
        <v>40</v>
      </c>
      <c r="AX85" s="96">
        <f t="shared" si="214"/>
        <v>20</v>
      </c>
      <c r="AY85" s="84">
        <v>20</v>
      </c>
      <c r="AZ85" s="176"/>
      <c r="BA85" s="172"/>
      <c r="BB85" s="87"/>
      <c r="BC85" s="90"/>
      <c r="BD85" s="182" t="s">
        <v>289</v>
      </c>
      <c r="BE85" s="78"/>
      <c r="BF85" s="92">
        <f>BH85+BM85+BN85</f>
        <v>0</v>
      </c>
      <c r="BG85" s="268"/>
      <c r="BH85" s="95">
        <f t="shared" si="215"/>
        <v>0</v>
      </c>
      <c r="BI85" s="96">
        <f t="shared" si="216"/>
        <v>0</v>
      </c>
      <c r="BJ85" s="84"/>
      <c r="BK85" s="176"/>
      <c r="BL85" s="172"/>
      <c r="BM85" s="87"/>
      <c r="BN85" s="90"/>
      <c r="BO85" s="182"/>
      <c r="BP85" s="78"/>
      <c r="BQ85" s="92">
        <f t="shared" si="209"/>
        <v>0</v>
      </c>
      <c r="BR85" s="268"/>
      <c r="BS85" s="324">
        <f>BR85*18</f>
        <v>0</v>
      </c>
      <c r="BT85" s="96">
        <f t="shared" si="217"/>
        <v>0</v>
      </c>
      <c r="BU85" s="84"/>
      <c r="BV85" s="176"/>
      <c r="BW85" s="172"/>
      <c r="BX85" s="87"/>
      <c r="BY85" s="90"/>
      <c r="BZ85" s="182"/>
      <c r="CA85" s="78"/>
      <c r="CB85" s="92">
        <f>CD85+CI85+CJ85</f>
        <v>0</v>
      </c>
      <c r="CC85" s="268"/>
      <c r="CD85" s="95">
        <f t="shared" si="218"/>
        <v>0</v>
      </c>
      <c r="CE85" s="96">
        <f t="shared" si="219"/>
        <v>0</v>
      </c>
      <c r="CF85" s="84"/>
      <c r="CG85" s="176"/>
      <c r="CH85" s="172"/>
      <c r="CI85" s="87"/>
      <c r="CJ85" s="90"/>
      <c r="CK85" s="182"/>
      <c r="CL85" s="139"/>
      <c r="CM85" s="14">
        <v>92</v>
      </c>
    </row>
    <row r="86" spans="1:95" ht="74.25" customHeight="1" x14ac:dyDescent="0.25">
      <c r="A86" s="191" t="s">
        <v>153</v>
      </c>
      <c r="B86" s="221" t="s">
        <v>120</v>
      </c>
      <c r="C86" s="238" t="s">
        <v>295</v>
      </c>
      <c r="D86" s="41">
        <f>N86+Y86+AJ86+AU86+BF86+BQ86+CB86</f>
        <v>59</v>
      </c>
      <c r="E86" s="49"/>
      <c r="F86" s="49">
        <f>P86+AA86+AL86+AW86+BH86+BS86+CD86</f>
        <v>54</v>
      </c>
      <c r="G86" s="49">
        <f>Q86+AB86+AM86+AX86+BI86+BT86+CE86</f>
        <v>34</v>
      </c>
      <c r="H86" s="49">
        <f>S86+AD86+AO86+AZ86+BK86+BV86+CG86</f>
        <v>0</v>
      </c>
      <c r="I86" s="49">
        <f>R86+AC86+AN86+AY86+BJ86+BU86+CF86</f>
        <v>20</v>
      </c>
      <c r="J86" s="49">
        <f>T86+AE86+AP86+BA86+BL86+BW86+CH86</f>
        <v>0</v>
      </c>
      <c r="K86" s="49">
        <f>U86+AF86+AQ86+BB86+BM86+BX86+CI86</f>
        <v>2</v>
      </c>
      <c r="L86" s="49">
        <f>V86+AG86+AR86+BC86+BN86+BY86+CJ86</f>
        <v>3</v>
      </c>
      <c r="M86" s="78"/>
      <c r="N86" s="92">
        <f>P86+U86+V86</f>
        <v>0</v>
      </c>
      <c r="O86" s="268"/>
      <c r="P86" s="95">
        <f t="shared" si="208"/>
        <v>0</v>
      </c>
      <c r="Q86" s="96">
        <f t="shared" si="210"/>
        <v>0</v>
      </c>
      <c r="R86" s="84"/>
      <c r="S86" s="176"/>
      <c r="T86" s="172"/>
      <c r="U86" s="87"/>
      <c r="V86" s="90"/>
      <c r="W86" s="182"/>
      <c r="X86" s="78"/>
      <c r="Y86" s="92">
        <f>AA86+AF86+AG86</f>
        <v>0</v>
      </c>
      <c r="Z86" s="268"/>
      <c r="AA86" s="95">
        <f t="shared" si="211"/>
        <v>0</v>
      </c>
      <c r="AB86" s="96">
        <f t="shared" si="212"/>
        <v>0</v>
      </c>
      <c r="AC86" s="84"/>
      <c r="AD86" s="176"/>
      <c r="AE86" s="172"/>
      <c r="AF86" s="87"/>
      <c r="AG86" s="90"/>
      <c r="AH86" s="182"/>
      <c r="AI86" s="78"/>
      <c r="AJ86" s="92">
        <f>AL86+AQ86+AR86</f>
        <v>0</v>
      </c>
      <c r="AK86" s="268"/>
      <c r="AL86" s="95">
        <f>AK86*$CN$8</f>
        <v>0</v>
      </c>
      <c r="AM86" s="96">
        <f t="shared" si="213"/>
        <v>0</v>
      </c>
      <c r="AN86" s="84"/>
      <c r="AO86" s="176"/>
      <c r="AP86" s="172"/>
      <c r="AQ86" s="87"/>
      <c r="AR86" s="90"/>
      <c r="AS86" s="182"/>
      <c r="AT86" s="78"/>
      <c r="AU86" s="92">
        <f>AW86+BB86+BC86</f>
        <v>0</v>
      </c>
      <c r="AV86" s="268"/>
      <c r="AW86" s="95">
        <f>AV86*$CN$9</f>
        <v>0</v>
      </c>
      <c r="AX86" s="96">
        <f t="shared" si="214"/>
        <v>0</v>
      </c>
      <c r="AY86" s="84"/>
      <c r="AZ86" s="176"/>
      <c r="BA86" s="172"/>
      <c r="BB86" s="87"/>
      <c r="BC86" s="90"/>
      <c r="BD86" s="182"/>
      <c r="BE86" s="78"/>
      <c r="BF86" s="92">
        <f>BH86+BM86+BN86</f>
        <v>0</v>
      </c>
      <c r="BG86" s="268"/>
      <c r="BH86" s="95">
        <f t="shared" si="215"/>
        <v>0</v>
      </c>
      <c r="BI86" s="96">
        <f t="shared" si="216"/>
        <v>0</v>
      </c>
      <c r="BJ86" s="84"/>
      <c r="BK86" s="176"/>
      <c r="BL86" s="172"/>
      <c r="BM86" s="87"/>
      <c r="BN86" s="90"/>
      <c r="BO86" s="182"/>
      <c r="BP86" s="78"/>
      <c r="BQ86" s="92">
        <f t="shared" si="209"/>
        <v>59</v>
      </c>
      <c r="BR86" s="268">
        <v>3</v>
      </c>
      <c r="BS86" s="324">
        <f>BR86*18</f>
        <v>54</v>
      </c>
      <c r="BT86" s="96">
        <f t="shared" si="217"/>
        <v>34</v>
      </c>
      <c r="BU86" s="84">
        <v>20</v>
      </c>
      <c r="BV86" s="176"/>
      <c r="BW86" s="172"/>
      <c r="BX86" s="87">
        <v>2</v>
      </c>
      <c r="BY86" s="90">
        <v>3</v>
      </c>
      <c r="BZ86" s="182" t="s">
        <v>82</v>
      </c>
      <c r="CA86" s="78"/>
      <c r="CB86" s="92">
        <f>CD86+CI86+CJ86</f>
        <v>0</v>
      </c>
      <c r="CC86" s="268"/>
      <c r="CD86" s="95">
        <f t="shared" si="218"/>
        <v>0</v>
      </c>
      <c r="CE86" s="96">
        <f t="shared" si="219"/>
        <v>0</v>
      </c>
      <c r="CF86" s="84"/>
      <c r="CG86" s="176"/>
      <c r="CH86" s="172"/>
      <c r="CI86" s="87"/>
      <c r="CJ86" s="90"/>
      <c r="CK86" s="182"/>
      <c r="CL86" s="139"/>
      <c r="CM86" s="14">
        <v>40</v>
      </c>
    </row>
    <row r="87" spans="1:95" ht="20.100000000000001" customHeight="1" x14ac:dyDescent="0.25">
      <c r="A87" s="6" t="s">
        <v>154</v>
      </c>
      <c r="B87" s="217" t="s">
        <v>29</v>
      </c>
      <c r="C87" s="238" t="s">
        <v>95</v>
      </c>
      <c r="D87" s="41">
        <f>N87+Y87+AJ87+AU87+BF87+BQ87+CB87</f>
        <v>144</v>
      </c>
      <c r="E87" s="49"/>
      <c r="F87" s="49">
        <f>P87+AA87+AL87+AW87+BH87+BS87+CD87</f>
        <v>144</v>
      </c>
      <c r="G87" s="49">
        <f>Q87+AB87+AM87+AX87+BI87+BT87+CE87</f>
        <v>0</v>
      </c>
      <c r="H87" s="49">
        <f>S87+AD87+AO87+AZ87+BK87+BV87+CG87</f>
        <v>0</v>
      </c>
      <c r="I87" s="49">
        <f>R87+AC87+AN87+AY87+BJ87+BU87+CF87</f>
        <v>144</v>
      </c>
      <c r="J87" s="49">
        <f>T87+AE87+AP87+BA87+BL87+BW87+CH87</f>
        <v>0</v>
      </c>
      <c r="K87" s="49">
        <f>U87+AF87+AQ87+BB87+BM87+BX87+CI87</f>
        <v>0</v>
      </c>
      <c r="L87" s="49">
        <f>V87+AG87+AR87+BC87+BN87+BY87+CJ87</f>
        <v>0</v>
      </c>
      <c r="M87" s="78"/>
      <c r="N87" s="92">
        <f>P87+U87+V87</f>
        <v>0</v>
      </c>
      <c r="O87" s="268"/>
      <c r="P87" s="95">
        <f t="shared" si="208"/>
        <v>0</v>
      </c>
      <c r="Q87" s="96">
        <f t="shared" si="210"/>
        <v>0</v>
      </c>
      <c r="R87" s="84"/>
      <c r="S87" s="176"/>
      <c r="T87" s="172"/>
      <c r="U87" s="87"/>
      <c r="V87" s="90"/>
      <c r="W87" s="182"/>
      <c r="X87" s="78"/>
      <c r="Y87" s="92">
        <f>AA87+AF87+AG87</f>
        <v>0</v>
      </c>
      <c r="Z87" s="268"/>
      <c r="AA87" s="95">
        <f t="shared" si="211"/>
        <v>0</v>
      </c>
      <c r="AB87" s="96">
        <f t="shared" si="212"/>
        <v>0</v>
      </c>
      <c r="AC87" s="84"/>
      <c r="AD87" s="176"/>
      <c r="AE87" s="172"/>
      <c r="AF87" s="87"/>
      <c r="AG87" s="90"/>
      <c r="AH87" s="182"/>
      <c r="AI87" s="78"/>
      <c r="AJ87" s="92">
        <f>AL87+AQ87+AR87</f>
        <v>0</v>
      </c>
      <c r="AK87" s="268"/>
      <c r="AL87" s="95">
        <f t="shared" ref="AL87:AL89" si="220">AK87*$CN$8</f>
        <v>0</v>
      </c>
      <c r="AM87" s="96">
        <f t="shared" si="213"/>
        <v>0</v>
      </c>
      <c r="AN87" s="84"/>
      <c r="AO87" s="176"/>
      <c r="AP87" s="172"/>
      <c r="AQ87" s="87"/>
      <c r="AR87" s="90"/>
      <c r="AS87" s="182"/>
      <c r="AT87" s="78"/>
      <c r="AU87" s="92">
        <f>AW87+BB87+BC87</f>
        <v>0</v>
      </c>
      <c r="AV87" s="268"/>
      <c r="AW87" s="95">
        <f t="shared" ref="AW87:AW89" si="221">AV87*$CN$9</f>
        <v>0</v>
      </c>
      <c r="AX87" s="96">
        <f t="shared" si="214"/>
        <v>0</v>
      </c>
      <c r="AY87" s="84"/>
      <c r="AZ87" s="176"/>
      <c r="BA87" s="172"/>
      <c r="BB87" s="87"/>
      <c r="BC87" s="90"/>
      <c r="BD87" s="182"/>
      <c r="BE87" s="78"/>
      <c r="BF87" s="92"/>
      <c r="BG87" s="268"/>
      <c r="BH87" s="95">
        <f t="shared" si="215"/>
        <v>0</v>
      </c>
      <c r="BI87" s="96">
        <f t="shared" si="216"/>
        <v>0</v>
      </c>
      <c r="BJ87" s="84"/>
      <c r="BK87" s="176"/>
      <c r="BL87" s="172"/>
      <c r="BM87" s="87"/>
      <c r="BN87" s="90"/>
      <c r="BO87" s="182"/>
      <c r="BP87" s="78"/>
      <c r="BQ87" s="92">
        <f t="shared" si="209"/>
        <v>144</v>
      </c>
      <c r="BR87" s="268"/>
      <c r="BS87" s="324">
        <v>144</v>
      </c>
      <c r="BT87" s="96">
        <f t="shared" si="217"/>
        <v>0</v>
      </c>
      <c r="BU87" s="84">
        <v>144</v>
      </c>
      <c r="BV87" s="176"/>
      <c r="BW87" s="172"/>
      <c r="BX87" s="87"/>
      <c r="BY87" s="90"/>
      <c r="BZ87" s="182" t="s">
        <v>95</v>
      </c>
      <c r="CA87" s="78"/>
      <c r="CB87" s="92">
        <f>CD87+CI87+CJ87</f>
        <v>0</v>
      </c>
      <c r="CC87" s="268"/>
      <c r="CD87" s="95">
        <f t="shared" si="218"/>
        <v>0</v>
      </c>
      <c r="CE87" s="96">
        <f t="shared" si="219"/>
        <v>0</v>
      </c>
      <c r="CF87" s="84"/>
      <c r="CG87" s="176"/>
      <c r="CH87" s="172"/>
      <c r="CI87" s="87"/>
      <c r="CJ87" s="90"/>
      <c r="CK87" s="182"/>
      <c r="CL87" s="139"/>
      <c r="CM87" s="15">
        <v>75</v>
      </c>
    </row>
    <row r="88" spans="1:95" ht="30.75" customHeight="1" x14ac:dyDescent="0.25">
      <c r="A88" s="68" t="s">
        <v>155</v>
      </c>
      <c r="B88" s="218" t="s">
        <v>30</v>
      </c>
      <c r="C88" s="238" t="s">
        <v>95</v>
      </c>
      <c r="D88" s="41"/>
      <c r="E88" s="49"/>
      <c r="F88" s="49">
        <f>P88+AA88+AL88+AW88+BH88+BS88+CD88</f>
        <v>0</v>
      </c>
      <c r="G88" s="49"/>
      <c r="H88" s="49"/>
      <c r="I88" s="49"/>
      <c r="J88" s="49"/>
      <c r="K88" s="49"/>
      <c r="L88" s="49"/>
      <c r="M88" s="78"/>
      <c r="N88" s="92"/>
      <c r="O88" s="268"/>
      <c r="P88" s="95">
        <f t="shared" si="208"/>
        <v>0</v>
      </c>
      <c r="Q88" s="96">
        <f t="shared" si="210"/>
        <v>0</v>
      </c>
      <c r="R88" s="84"/>
      <c r="S88" s="176"/>
      <c r="T88" s="172"/>
      <c r="U88" s="87"/>
      <c r="V88" s="90"/>
      <c r="W88" s="182"/>
      <c r="X88" s="78"/>
      <c r="Y88" s="92"/>
      <c r="Z88" s="268"/>
      <c r="AA88" s="95">
        <f t="shared" si="211"/>
        <v>0</v>
      </c>
      <c r="AB88" s="96">
        <f t="shared" si="212"/>
        <v>0</v>
      </c>
      <c r="AC88" s="84"/>
      <c r="AD88" s="176"/>
      <c r="AE88" s="172"/>
      <c r="AF88" s="87"/>
      <c r="AG88" s="90"/>
      <c r="AH88" s="182"/>
      <c r="AI88" s="78"/>
      <c r="AJ88" s="92"/>
      <c r="AK88" s="268"/>
      <c r="AL88" s="95">
        <f t="shared" si="220"/>
        <v>0</v>
      </c>
      <c r="AM88" s="96">
        <f t="shared" si="213"/>
        <v>0</v>
      </c>
      <c r="AN88" s="84"/>
      <c r="AO88" s="176"/>
      <c r="AP88" s="172"/>
      <c r="AQ88" s="87"/>
      <c r="AR88" s="90"/>
      <c r="AS88" s="182"/>
      <c r="AT88" s="78"/>
      <c r="AU88" s="92"/>
      <c r="AV88" s="268"/>
      <c r="AW88" s="95">
        <f t="shared" si="221"/>
        <v>0</v>
      </c>
      <c r="AX88" s="96">
        <f t="shared" si="214"/>
        <v>0</v>
      </c>
      <c r="AY88" s="84"/>
      <c r="AZ88" s="176"/>
      <c r="BA88" s="172"/>
      <c r="BB88" s="87"/>
      <c r="BC88" s="90"/>
      <c r="BD88" s="182"/>
      <c r="BE88" s="78"/>
      <c r="BF88" s="92"/>
      <c r="BG88" s="268"/>
      <c r="BH88" s="95">
        <f t="shared" si="215"/>
        <v>0</v>
      </c>
      <c r="BI88" s="96">
        <f t="shared" si="216"/>
        <v>0</v>
      </c>
      <c r="BJ88" s="84"/>
      <c r="BK88" s="176"/>
      <c r="BL88" s="172"/>
      <c r="BM88" s="87"/>
      <c r="BN88" s="90"/>
      <c r="BO88" s="182"/>
      <c r="BP88" s="78"/>
      <c r="BQ88" s="92">
        <f t="shared" si="209"/>
        <v>0</v>
      </c>
      <c r="BR88" s="268"/>
      <c r="BS88" s="324"/>
      <c r="BT88" s="96">
        <f t="shared" si="217"/>
        <v>0</v>
      </c>
      <c r="BU88" s="84"/>
      <c r="BV88" s="176"/>
      <c r="BW88" s="172"/>
      <c r="BX88" s="87"/>
      <c r="BY88" s="90"/>
      <c r="BZ88" s="182" t="s">
        <v>95</v>
      </c>
      <c r="CA88" s="78"/>
      <c r="CB88" s="92"/>
      <c r="CC88" s="268"/>
      <c r="CD88" s="95">
        <f t="shared" si="218"/>
        <v>0</v>
      </c>
      <c r="CE88" s="96">
        <f t="shared" si="219"/>
        <v>0</v>
      </c>
      <c r="CF88" s="84"/>
      <c r="CG88" s="176"/>
      <c r="CH88" s="172"/>
      <c r="CI88" s="87"/>
      <c r="CJ88" s="90"/>
      <c r="CK88" s="182"/>
      <c r="CL88" s="139"/>
      <c r="CM88" s="15"/>
      <c r="CQ88" s="14">
        <f>108/36</f>
        <v>3</v>
      </c>
    </row>
    <row r="89" spans="1:95" ht="18" customHeight="1" x14ac:dyDescent="0.25">
      <c r="A89" s="35"/>
      <c r="B89" s="228" t="s">
        <v>296</v>
      </c>
      <c r="C89" s="254" t="s">
        <v>288</v>
      </c>
      <c r="D89" s="41">
        <f>N89+Y89+AJ89+AU89+BF89+BQ89+CB89</f>
        <v>11</v>
      </c>
      <c r="E89" s="49"/>
      <c r="F89" s="49">
        <f>P89+AA89+AL89+AW89+BH89+BS89+CD89</f>
        <v>0</v>
      </c>
      <c r="G89" s="49">
        <f>Q89+AB89+AM89+AX89+BI89+BT89+CE89</f>
        <v>0</v>
      </c>
      <c r="H89" s="49">
        <f>S89+AD89+AO89+AZ89+BK89+BV89+CG89</f>
        <v>0</v>
      </c>
      <c r="I89" s="49">
        <f>R89+AC89+AN89+AY89+BJ89+BU89+CF89</f>
        <v>0</v>
      </c>
      <c r="J89" s="49">
        <f>T89+AE89+AP89+BA89+BL89+BW89+CH89</f>
        <v>0</v>
      </c>
      <c r="K89" s="49">
        <f>U89+AF89+AQ89+BB89+BM89+BX89+CI89</f>
        <v>4</v>
      </c>
      <c r="L89" s="49">
        <f>V89+AG89+AR89+BC89+BN89+BY89+CJ89</f>
        <v>7</v>
      </c>
      <c r="M89" s="78"/>
      <c r="N89" s="92">
        <f>P89+U89+V89</f>
        <v>0</v>
      </c>
      <c r="O89" s="268"/>
      <c r="P89" s="95">
        <f t="shared" si="208"/>
        <v>0</v>
      </c>
      <c r="Q89" s="96">
        <f t="shared" si="210"/>
        <v>0</v>
      </c>
      <c r="R89" s="84"/>
      <c r="S89" s="176"/>
      <c r="T89" s="172"/>
      <c r="U89" s="87"/>
      <c r="V89" s="90"/>
      <c r="W89" s="182"/>
      <c r="X89" s="78"/>
      <c r="Y89" s="92">
        <f>AA89+AF89+AG89</f>
        <v>0</v>
      </c>
      <c r="Z89" s="268"/>
      <c r="AA89" s="95">
        <f t="shared" si="211"/>
        <v>0</v>
      </c>
      <c r="AB89" s="96">
        <f t="shared" si="212"/>
        <v>0</v>
      </c>
      <c r="AC89" s="84"/>
      <c r="AD89" s="176"/>
      <c r="AE89" s="172"/>
      <c r="AF89" s="87"/>
      <c r="AG89" s="90"/>
      <c r="AH89" s="182"/>
      <c r="AI89" s="78"/>
      <c r="AJ89" s="92">
        <f>AL89+AQ89+AR89</f>
        <v>0</v>
      </c>
      <c r="AK89" s="268"/>
      <c r="AL89" s="95">
        <f t="shared" si="220"/>
        <v>0</v>
      </c>
      <c r="AM89" s="96">
        <f t="shared" si="213"/>
        <v>0</v>
      </c>
      <c r="AN89" s="84"/>
      <c r="AO89" s="176"/>
      <c r="AP89" s="172"/>
      <c r="AQ89" s="87"/>
      <c r="AR89" s="90"/>
      <c r="AS89" s="182"/>
      <c r="AT89" s="78"/>
      <c r="AU89" s="92">
        <f>AW89+BB89+BC89</f>
        <v>0</v>
      </c>
      <c r="AV89" s="268"/>
      <c r="AW89" s="95">
        <f t="shared" si="221"/>
        <v>0</v>
      </c>
      <c r="AX89" s="96">
        <f t="shared" si="214"/>
        <v>0</v>
      </c>
      <c r="AY89" s="84"/>
      <c r="AZ89" s="176"/>
      <c r="BA89" s="172"/>
      <c r="BB89" s="87"/>
      <c r="BC89" s="90"/>
      <c r="BD89" s="182"/>
      <c r="BE89" s="78"/>
      <c r="BF89" s="92">
        <f>BH89+BM89+BN89</f>
        <v>0</v>
      </c>
      <c r="BG89" s="268"/>
      <c r="BH89" s="95">
        <f t="shared" si="215"/>
        <v>0</v>
      </c>
      <c r="BI89" s="96">
        <f t="shared" si="216"/>
        <v>0</v>
      </c>
      <c r="BJ89" s="84"/>
      <c r="BK89" s="176"/>
      <c r="BL89" s="172"/>
      <c r="BM89" s="87"/>
      <c r="BN89" s="90"/>
      <c r="BO89" s="182"/>
      <c r="BP89" s="78"/>
      <c r="BQ89" s="92">
        <f t="shared" si="209"/>
        <v>11</v>
      </c>
      <c r="BR89" s="268"/>
      <c r="BS89" s="324">
        <f>BR89*$CN$11</f>
        <v>0</v>
      </c>
      <c r="BT89" s="96">
        <f t="shared" si="217"/>
        <v>0</v>
      </c>
      <c r="BU89" s="84"/>
      <c r="BV89" s="176"/>
      <c r="BW89" s="172"/>
      <c r="BX89" s="87">
        <v>4</v>
      </c>
      <c r="BY89" s="90">
        <v>7</v>
      </c>
      <c r="BZ89" s="182" t="s">
        <v>288</v>
      </c>
      <c r="CA89" s="78"/>
      <c r="CB89" s="92">
        <f>CD89+CI89+CJ89</f>
        <v>0</v>
      </c>
      <c r="CC89" s="268"/>
      <c r="CD89" s="95">
        <f t="shared" si="218"/>
        <v>0</v>
      </c>
      <c r="CE89" s="96">
        <f t="shared" si="219"/>
        <v>0</v>
      </c>
      <c r="CF89" s="84"/>
      <c r="CG89" s="176"/>
      <c r="CH89" s="172"/>
      <c r="CI89" s="87"/>
      <c r="CJ89" s="90"/>
      <c r="CK89" s="182"/>
      <c r="CL89" s="139"/>
      <c r="CM89" s="15">
        <v>75</v>
      </c>
    </row>
    <row r="90" spans="1:95" ht="10.5" customHeight="1" x14ac:dyDescent="0.25">
      <c r="A90" s="101"/>
      <c r="B90" s="219"/>
      <c r="C90" s="236"/>
      <c r="D90" s="98"/>
      <c r="E90" s="98"/>
      <c r="F90" s="98"/>
      <c r="G90" s="98"/>
      <c r="H90" s="98"/>
      <c r="I90" s="98"/>
      <c r="J90" s="98"/>
      <c r="K90" s="98"/>
      <c r="L90" s="98"/>
      <c r="M90" s="78"/>
      <c r="N90" s="77"/>
      <c r="O90" s="266"/>
      <c r="P90" s="77"/>
      <c r="Q90" s="77"/>
      <c r="R90" s="78"/>
      <c r="S90" s="78"/>
      <c r="T90" s="78"/>
      <c r="U90" s="78"/>
      <c r="V90" s="78"/>
      <c r="W90" s="78"/>
      <c r="X90" s="78"/>
      <c r="Y90" s="77"/>
      <c r="Z90" s="266"/>
      <c r="AA90" s="77"/>
      <c r="AB90" s="77"/>
      <c r="AC90" s="78"/>
      <c r="AD90" s="78"/>
      <c r="AE90" s="78"/>
      <c r="AF90" s="78"/>
      <c r="AG90" s="78"/>
      <c r="AH90" s="78"/>
      <c r="AI90" s="78"/>
      <c r="AJ90" s="77"/>
      <c r="AK90" s="266"/>
      <c r="AL90" s="77"/>
      <c r="AM90" s="77"/>
      <c r="AN90" s="78"/>
      <c r="AO90" s="78"/>
      <c r="AP90" s="78"/>
      <c r="AQ90" s="78"/>
      <c r="AR90" s="78"/>
      <c r="AS90" s="78"/>
      <c r="AT90" s="78"/>
      <c r="AU90" s="77"/>
      <c r="AV90" s="266"/>
      <c r="AW90" s="77"/>
      <c r="AX90" s="77"/>
      <c r="AY90" s="78"/>
      <c r="AZ90" s="78"/>
      <c r="BA90" s="78"/>
      <c r="BB90" s="78"/>
      <c r="BC90" s="78"/>
      <c r="BD90" s="78"/>
      <c r="BE90" s="78"/>
      <c r="BF90" s="77"/>
      <c r="BG90" s="266"/>
      <c r="BH90" s="77"/>
      <c r="BI90" s="77"/>
      <c r="BJ90" s="78"/>
      <c r="BK90" s="78"/>
      <c r="BL90" s="78"/>
      <c r="BM90" s="78"/>
      <c r="BN90" s="78"/>
      <c r="BO90" s="78"/>
      <c r="BP90" s="78"/>
      <c r="BQ90" s="77"/>
      <c r="BR90" s="266"/>
      <c r="BS90" s="293"/>
      <c r="BT90" s="77"/>
      <c r="BU90" s="78"/>
      <c r="BV90" s="78"/>
      <c r="BW90" s="78"/>
      <c r="BX90" s="78"/>
      <c r="BY90" s="78"/>
      <c r="BZ90" s="78"/>
      <c r="CA90" s="78"/>
      <c r="CB90" s="77"/>
      <c r="CC90" s="266"/>
      <c r="CD90" s="77"/>
      <c r="CE90" s="77"/>
      <c r="CF90" s="78"/>
      <c r="CG90" s="78"/>
      <c r="CH90" s="78"/>
      <c r="CI90" s="78"/>
      <c r="CJ90" s="78"/>
      <c r="CK90" s="78"/>
      <c r="CL90" s="139"/>
    </row>
    <row r="91" spans="1:95" ht="48" customHeight="1" x14ac:dyDescent="0.25">
      <c r="A91" s="110" t="s">
        <v>156</v>
      </c>
      <c r="B91" s="216" t="s">
        <v>235</v>
      </c>
      <c r="C91" s="245"/>
      <c r="D91" s="188">
        <f>N91+Y91+AJ91+AU91+BF91+BQ91+CB91</f>
        <v>278</v>
      </c>
      <c r="E91" s="112"/>
      <c r="F91" s="112">
        <f>P91+AA91+AL91+AW91+BH91+BS91+CD91</f>
        <v>262</v>
      </c>
      <c r="G91" s="112">
        <f>Q91+AB91+AM91+AX91+BI91+BT91+CE91</f>
        <v>68</v>
      </c>
      <c r="H91" s="112">
        <f>S91+AD91+AO91+AZ91+BK91+BV91+CG91</f>
        <v>0</v>
      </c>
      <c r="I91" s="112">
        <f>R91+AC91+AN91+AY91+BJ91+BU91+CF91</f>
        <v>194</v>
      </c>
      <c r="J91" s="112">
        <f>T91+AE91+AP91+BA91+BL91+BW91+CH91</f>
        <v>15</v>
      </c>
      <c r="K91" s="112">
        <f>U91+AF91+AQ91+BB91+BM91+BX91+CI91</f>
        <v>6</v>
      </c>
      <c r="L91" s="112">
        <f>V91+AG91+AR91+BC91+BN91+BY91+CJ91</f>
        <v>10</v>
      </c>
      <c r="M91" s="79"/>
      <c r="N91" s="112">
        <f>SUM(N92:N96)</f>
        <v>0</v>
      </c>
      <c r="O91" s="267">
        <f t="shared" ref="O91:V91" si="222">SUM(O92:O96)</f>
        <v>0</v>
      </c>
      <c r="P91" s="112">
        <f t="shared" si="222"/>
        <v>0</v>
      </c>
      <c r="Q91" s="112">
        <f t="shared" si="222"/>
        <v>0</v>
      </c>
      <c r="R91" s="112">
        <f t="shared" si="222"/>
        <v>0</v>
      </c>
      <c r="S91" s="112">
        <f t="shared" si="222"/>
        <v>0</v>
      </c>
      <c r="T91" s="112">
        <f t="shared" si="222"/>
        <v>0</v>
      </c>
      <c r="U91" s="112">
        <f t="shared" si="222"/>
        <v>0</v>
      </c>
      <c r="V91" s="112">
        <f t="shared" si="222"/>
        <v>0</v>
      </c>
      <c r="W91" s="112"/>
      <c r="X91" s="79"/>
      <c r="Y91" s="112">
        <f>SUM(Y92:Y96)</f>
        <v>0</v>
      </c>
      <c r="Z91" s="267">
        <f t="shared" ref="Z91:AG91" si="223">SUM(Z92:Z96)</f>
        <v>0</v>
      </c>
      <c r="AA91" s="112">
        <f t="shared" si="223"/>
        <v>0</v>
      </c>
      <c r="AB91" s="112">
        <f t="shared" si="223"/>
        <v>0</v>
      </c>
      <c r="AC91" s="112">
        <f t="shared" si="223"/>
        <v>0</v>
      </c>
      <c r="AD91" s="112">
        <f t="shared" si="223"/>
        <v>0</v>
      </c>
      <c r="AE91" s="112">
        <f t="shared" si="223"/>
        <v>0</v>
      </c>
      <c r="AF91" s="112">
        <f t="shared" si="223"/>
        <v>0</v>
      </c>
      <c r="AG91" s="112">
        <f t="shared" si="223"/>
        <v>0</v>
      </c>
      <c r="AH91" s="112"/>
      <c r="AI91" s="79"/>
      <c r="AJ91" s="112">
        <f>SUM(AJ92:AJ96)</f>
        <v>0</v>
      </c>
      <c r="AK91" s="267">
        <f t="shared" ref="AK91:AR91" si="224">SUM(AK92:AK96)</f>
        <v>0</v>
      </c>
      <c r="AL91" s="112">
        <f t="shared" si="224"/>
        <v>0</v>
      </c>
      <c r="AM91" s="112">
        <f t="shared" si="224"/>
        <v>0</v>
      </c>
      <c r="AN91" s="112">
        <f t="shared" si="224"/>
        <v>0</v>
      </c>
      <c r="AO91" s="112">
        <f t="shared" si="224"/>
        <v>0</v>
      </c>
      <c r="AP91" s="112">
        <f t="shared" si="224"/>
        <v>0</v>
      </c>
      <c r="AQ91" s="112">
        <f t="shared" si="224"/>
        <v>0</v>
      </c>
      <c r="AR91" s="112">
        <f t="shared" si="224"/>
        <v>0</v>
      </c>
      <c r="AS91" s="112"/>
      <c r="AT91" s="77"/>
      <c r="AU91" s="112">
        <f>SUM(AU92:AU96)</f>
        <v>0</v>
      </c>
      <c r="AV91" s="267">
        <f t="shared" ref="AV91:BC91" si="225">SUM(AV92:AV96)</f>
        <v>0</v>
      </c>
      <c r="AW91" s="112">
        <f t="shared" si="225"/>
        <v>0</v>
      </c>
      <c r="AX91" s="112">
        <f t="shared" si="225"/>
        <v>0</v>
      </c>
      <c r="AY91" s="112">
        <f t="shared" si="225"/>
        <v>0</v>
      </c>
      <c r="AZ91" s="112">
        <f t="shared" si="225"/>
        <v>0</v>
      </c>
      <c r="BA91" s="112">
        <f t="shared" si="225"/>
        <v>0</v>
      </c>
      <c r="BB91" s="112">
        <f t="shared" si="225"/>
        <v>0</v>
      </c>
      <c r="BC91" s="112">
        <f t="shared" si="225"/>
        <v>0</v>
      </c>
      <c r="BD91" s="112"/>
      <c r="BE91" s="77"/>
      <c r="BF91" s="112">
        <f>SUM(BF92:BF96)</f>
        <v>0</v>
      </c>
      <c r="BG91" s="267">
        <f t="shared" ref="BG91:BN91" si="226">SUM(BG92:BG96)</f>
        <v>0</v>
      </c>
      <c r="BH91" s="112">
        <f t="shared" si="226"/>
        <v>0</v>
      </c>
      <c r="BI91" s="112">
        <f t="shared" si="226"/>
        <v>0</v>
      </c>
      <c r="BJ91" s="112">
        <f t="shared" si="226"/>
        <v>0</v>
      </c>
      <c r="BK91" s="112">
        <f t="shared" si="226"/>
        <v>0</v>
      </c>
      <c r="BL91" s="112">
        <f t="shared" si="226"/>
        <v>0</v>
      </c>
      <c r="BM91" s="112">
        <f t="shared" si="226"/>
        <v>0</v>
      </c>
      <c r="BN91" s="112">
        <f t="shared" si="226"/>
        <v>0</v>
      </c>
      <c r="BO91" s="112"/>
      <c r="BP91" s="79"/>
      <c r="BQ91" s="112">
        <f>SUM(BQ92:BQ96)</f>
        <v>0</v>
      </c>
      <c r="BR91" s="267">
        <f t="shared" ref="BR91:BY91" si="227">SUM(BR92:BR96)</f>
        <v>0</v>
      </c>
      <c r="BS91" s="267">
        <f t="shared" si="227"/>
        <v>0</v>
      </c>
      <c r="BT91" s="112">
        <f t="shared" si="227"/>
        <v>0</v>
      </c>
      <c r="BU91" s="112">
        <f t="shared" si="227"/>
        <v>0</v>
      </c>
      <c r="BV91" s="112">
        <f t="shared" si="227"/>
        <v>0</v>
      </c>
      <c r="BW91" s="112">
        <f t="shared" si="227"/>
        <v>0</v>
      </c>
      <c r="BX91" s="112">
        <f t="shared" si="227"/>
        <v>0</v>
      </c>
      <c r="BY91" s="112">
        <f t="shared" si="227"/>
        <v>0</v>
      </c>
      <c r="BZ91" s="112"/>
      <c r="CA91" s="79"/>
      <c r="CB91" s="112">
        <f>SUM(CB92:CB96)</f>
        <v>278</v>
      </c>
      <c r="CC91" s="267">
        <f t="shared" ref="CC91:CJ91" si="228">SUM(CC92:CC96)</f>
        <v>6.9411764705882355</v>
      </c>
      <c r="CD91" s="112">
        <f t="shared" si="228"/>
        <v>262</v>
      </c>
      <c r="CE91" s="112">
        <f t="shared" si="228"/>
        <v>68</v>
      </c>
      <c r="CF91" s="112">
        <f t="shared" si="228"/>
        <v>194</v>
      </c>
      <c r="CG91" s="112">
        <f t="shared" si="228"/>
        <v>0</v>
      </c>
      <c r="CH91" s="112">
        <f t="shared" si="228"/>
        <v>15</v>
      </c>
      <c r="CI91" s="112">
        <f t="shared" si="228"/>
        <v>6</v>
      </c>
      <c r="CJ91" s="112">
        <f t="shared" si="228"/>
        <v>10</v>
      </c>
      <c r="CK91" s="112" t="s">
        <v>288</v>
      </c>
      <c r="CL91" s="131"/>
    </row>
    <row r="92" spans="1:95" ht="33" customHeight="1" x14ac:dyDescent="0.25">
      <c r="A92" s="13" t="s">
        <v>157</v>
      </c>
      <c r="B92" s="217" t="s">
        <v>121</v>
      </c>
      <c r="C92" s="251" t="s">
        <v>82</v>
      </c>
      <c r="D92" s="41">
        <f>N92+Y92+AJ92+AU92+BF92+BQ92+CB92</f>
        <v>82</v>
      </c>
      <c r="E92" s="49"/>
      <c r="F92" s="49">
        <f>P92+AA92+AL92+AW92+BH92+BS92+CD92</f>
        <v>78</v>
      </c>
      <c r="G92" s="49">
        <f>Q92+AB92+AM92+AX92+BI92+BT92+CE92</f>
        <v>38</v>
      </c>
      <c r="H92" s="49">
        <f>S92+AD92+AO92+AZ92+BK92+BV92+CG92</f>
        <v>0</v>
      </c>
      <c r="I92" s="49">
        <f>R92+AC92+AN92+AY92+BJ92+BU92+CF92</f>
        <v>40</v>
      </c>
      <c r="J92" s="49">
        <f>T92+AE92+AP92+BA92+BL92+BW92+CH92</f>
        <v>15</v>
      </c>
      <c r="K92" s="49">
        <f>U92+AF92+AQ92+BB92+BM92+BX92+CI92</f>
        <v>1</v>
      </c>
      <c r="L92" s="49">
        <f>V92+AG92+AR92+BC92+BN92+BY92+CJ92</f>
        <v>3</v>
      </c>
      <c r="M92" s="78"/>
      <c r="N92" s="92">
        <f>P92+U92+V92</f>
        <v>0</v>
      </c>
      <c r="O92" s="268"/>
      <c r="P92" s="95">
        <f>O92*$CN$9</f>
        <v>0</v>
      </c>
      <c r="Q92" s="96">
        <f>P92-R92</f>
        <v>0</v>
      </c>
      <c r="R92" s="84"/>
      <c r="S92" s="176"/>
      <c r="T92" s="172"/>
      <c r="U92" s="87"/>
      <c r="V92" s="90"/>
      <c r="W92" s="182"/>
      <c r="X92" s="78"/>
      <c r="Y92" s="92">
        <f>AA92+AF92+AG92</f>
        <v>0</v>
      </c>
      <c r="Z92" s="268"/>
      <c r="AA92" s="95">
        <f>Z92*$CN$9</f>
        <v>0</v>
      </c>
      <c r="AB92" s="96">
        <f>AA92-AC92</f>
        <v>0</v>
      </c>
      <c r="AC92" s="84"/>
      <c r="AD92" s="176"/>
      <c r="AE92" s="172"/>
      <c r="AF92" s="87"/>
      <c r="AG92" s="90"/>
      <c r="AH92" s="182"/>
      <c r="AI92" s="78"/>
      <c r="AJ92" s="92">
        <f>AL92+AQ92+AR92</f>
        <v>0</v>
      </c>
      <c r="AK92" s="268"/>
      <c r="AL92" s="95">
        <f>AK92*$CN$8</f>
        <v>0</v>
      </c>
      <c r="AM92" s="96">
        <f>AL92-AN92</f>
        <v>0</v>
      </c>
      <c r="AN92" s="84"/>
      <c r="AO92" s="176"/>
      <c r="AP92" s="172"/>
      <c r="AQ92" s="87"/>
      <c r="AR92" s="90"/>
      <c r="AS92" s="182"/>
      <c r="AT92" s="78"/>
      <c r="AU92" s="92">
        <f>AW92+BB92+BC92</f>
        <v>0</v>
      </c>
      <c r="AV92" s="268"/>
      <c r="AW92" s="95">
        <f>AV92*$CN$9</f>
        <v>0</v>
      </c>
      <c r="AX92" s="96">
        <f>AW92-AY92</f>
        <v>0</v>
      </c>
      <c r="AY92" s="84"/>
      <c r="AZ92" s="176"/>
      <c r="BA92" s="172"/>
      <c r="BB92" s="87"/>
      <c r="BC92" s="90"/>
      <c r="BD92" s="182"/>
      <c r="BE92" s="78"/>
      <c r="BF92" s="92">
        <f>BH92+BM92+BN92</f>
        <v>0</v>
      </c>
      <c r="BG92" s="268"/>
      <c r="BH92" s="95">
        <f>BG92*$CN$10</f>
        <v>0</v>
      </c>
      <c r="BI92" s="96">
        <f>BH92-BJ92</f>
        <v>0</v>
      </c>
      <c r="BJ92" s="84"/>
      <c r="BK92" s="176"/>
      <c r="BL92" s="172"/>
      <c r="BM92" s="87"/>
      <c r="BN92" s="90"/>
      <c r="BO92" s="182"/>
      <c r="BP92" s="78"/>
      <c r="BQ92" s="92">
        <f>BS92+BX92+BY92</f>
        <v>0</v>
      </c>
      <c r="BR92" s="268"/>
      <c r="BS92" s="324">
        <f>BR92*$CN$11</f>
        <v>0</v>
      </c>
      <c r="BT92" s="96">
        <f>BS92-BU92</f>
        <v>0</v>
      </c>
      <c r="BU92" s="84"/>
      <c r="BV92" s="176"/>
      <c r="BW92" s="172"/>
      <c r="BX92" s="87"/>
      <c r="BY92" s="90"/>
      <c r="BZ92" s="182"/>
      <c r="CA92" s="78"/>
      <c r="CB92" s="92">
        <f>CD92+CI92+CJ92</f>
        <v>82</v>
      </c>
      <c r="CC92" s="268">
        <f>CD92/CN12</f>
        <v>4.5882352941176467</v>
      </c>
      <c r="CD92" s="95">
        <v>78</v>
      </c>
      <c r="CE92" s="96">
        <f>CD92-CF92</f>
        <v>38</v>
      </c>
      <c r="CF92" s="84">
        <v>40</v>
      </c>
      <c r="CG92" s="176"/>
      <c r="CH92" s="172">
        <v>15</v>
      </c>
      <c r="CI92" s="87">
        <v>1</v>
      </c>
      <c r="CJ92" s="90">
        <v>3</v>
      </c>
      <c r="CK92" s="453" t="s">
        <v>82</v>
      </c>
      <c r="CL92" s="139"/>
      <c r="CM92" s="14">
        <v>78</v>
      </c>
    </row>
    <row r="93" spans="1:95" ht="36" customHeight="1" x14ac:dyDescent="0.25">
      <c r="A93" s="6" t="s">
        <v>158</v>
      </c>
      <c r="B93" s="217" t="s">
        <v>122</v>
      </c>
      <c r="C93" s="251" t="s">
        <v>82</v>
      </c>
      <c r="D93" s="41">
        <f>N93+Y93+AJ93+AU93+BF93+BQ93+CB93</f>
        <v>44</v>
      </c>
      <c r="E93" s="49"/>
      <c r="F93" s="49">
        <f>P93+AA93+AL93+AW93+BH93+BS93+CD93</f>
        <v>40</v>
      </c>
      <c r="G93" s="49">
        <f>Q93+AB93+AM93+AX93+BI93+BT93+CE93</f>
        <v>30</v>
      </c>
      <c r="H93" s="49">
        <f>S93+AD93+AO93+AZ93+BK93+BV93+CG93</f>
        <v>0</v>
      </c>
      <c r="I93" s="49">
        <f>R93+AC93+AN93+AY93+BJ93+BU93+CF93</f>
        <v>10</v>
      </c>
      <c r="J93" s="49">
        <f>T93+AE93+AP93+BA93+BL93+BW93+CH93</f>
        <v>0</v>
      </c>
      <c r="K93" s="49">
        <f>U93+AF93+AQ93+BB93+BM93+BX93+CI93</f>
        <v>1</v>
      </c>
      <c r="L93" s="49">
        <f>V93+AG93+AR93+BC93+BN93+BY93+CJ93</f>
        <v>3</v>
      </c>
      <c r="M93" s="78"/>
      <c r="N93" s="92">
        <f>P93+U93+V93</f>
        <v>0</v>
      </c>
      <c r="O93" s="268"/>
      <c r="P93" s="95">
        <f t="shared" ref="P93:P96" si="229">O93*$CN$9</f>
        <v>0</v>
      </c>
      <c r="Q93" s="96">
        <f t="shared" ref="Q93:Q96" si="230">P93-R93</f>
        <v>0</v>
      </c>
      <c r="R93" s="84"/>
      <c r="S93" s="176"/>
      <c r="T93" s="172"/>
      <c r="U93" s="87"/>
      <c r="V93" s="90"/>
      <c r="W93" s="182"/>
      <c r="X93" s="78"/>
      <c r="Y93" s="92">
        <f>AA93+AF93+AG93</f>
        <v>0</v>
      </c>
      <c r="Z93" s="268"/>
      <c r="AA93" s="95">
        <f t="shared" ref="AA93:AA96" si="231">Z93*$CN$9</f>
        <v>0</v>
      </c>
      <c r="AB93" s="96">
        <f t="shared" ref="AB93:AB96" si="232">AA93-AC93</f>
        <v>0</v>
      </c>
      <c r="AC93" s="84"/>
      <c r="AD93" s="176"/>
      <c r="AE93" s="172"/>
      <c r="AF93" s="87"/>
      <c r="AG93" s="90"/>
      <c r="AH93" s="182"/>
      <c r="AI93" s="78"/>
      <c r="AJ93" s="92">
        <f>AL93+AQ93+AR93</f>
        <v>0</v>
      </c>
      <c r="AK93" s="268"/>
      <c r="AL93" s="95">
        <f t="shared" ref="AL93:AL96" si="233">AK93*$CN$8</f>
        <v>0</v>
      </c>
      <c r="AM93" s="96">
        <f t="shared" ref="AM93:AM96" si="234">AL93-AN93</f>
        <v>0</v>
      </c>
      <c r="AN93" s="84"/>
      <c r="AO93" s="176"/>
      <c r="AP93" s="172"/>
      <c r="AQ93" s="87"/>
      <c r="AR93" s="90"/>
      <c r="AS93" s="182"/>
      <c r="AT93" s="78"/>
      <c r="AU93" s="92">
        <f>AW93+BB93+BC93</f>
        <v>0</v>
      </c>
      <c r="AV93" s="268"/>
      <c r="AW93" s="95">
        <f t="shared" ref="AW93:AW96" si="235">AV93*$CN$9</f>
        <v>0</v>
      </c>
      <c r="AX93" s="96">
        <f t="shared" ref="AX93:AX96" si="236">AW93-AY93</f>
        <v>0</v>
      </c>
      <c r="AY93" s="84"/>
      <c r="AZ93" s="176"/>
      <c r="BA93" s="172"/>
      <c r="BB93" s="87"/>
      <c r="BC93" s="90"/>
      <c r="BD93" s="182"/>
      <c r="BE93" s="78"/>
      <c r="BF93" s="92">
        <f>BH93+BM93+BN93</f>
        <v>0</v>
      </c>
      <c r="BG93" s="268"/>
      <c r="BH93" s="95">
        <f t="shared" ref="BH93:BH96" si="237">BG93*$CN$10</f>
        <v>0</v>
      </c>
      <c r="BI93" s="96">
        <f t="shared" ref="BI93:BI96" si="238">BH93-BJ93</f>
        <v>0</v>
      </c>
      <c r="BJ93" s="84"/>
      <c r="BK93" s="176"/>
      <c r="BL93" s="172"/>
      <c r="BM93" s="87"/>
      <c r="BN93" s="90"/>
      <c r="BO93" s="182"/>
      <c r="BP93" s="78"/>
      <c r="BQ93" s="92">
        <f>BS93+BX93+BY93</f>
        <v>0</v>
      </c>
      <c r="BR93" s="268"/>
      <c r="BS93" s="324">
        <f t="shared" ref="BS93:BS96" si="239">BR93*$CN$11</f>
        <v>0</v>
      </c>
      <c r="BT93" s="96">
        <f t="shared" ref="BT93:BT96" si="240">BS93-BU93</f>
        <v>0</v>
      </c>
      <c r="BU93" s="84"/>
      <c r="BV93" s="176"/>
      <c r="BW93" s="172"/>
      <c r="BX93" s="87"/>
      <c r="BY93" s="90"/>
      <c r="BZ93" s="182"/>
      <c r="CA93" s="78"/>
      <c r="CB93" s="92">
        <f>CD93+CI93+CJ93</f>
        <v>44</v>
      </c>
      <c r="CC93" s="268">
        <f>CD93/CN12</f>
        <v>2.3529411764705883</v>
      </c>
      <c r="CD93" s="95">
        <v>40</v>
      </c>
      <c r="CE93" s="96">
        <f t="shared" ref="CE93:CE95" si="241">CD93-CF93</f>
        <v>30</v>
      </c>
      <c r="CF93" s="84">
        <v>10</v>
      </c>
      <c r="CG93" s="176"/>
      <c r="CH93" s="172"/>
      <c r="CI93" s="87">
        <v>1</v>
      </c>
      <c r="CJ93" s="90">
        <v>3</v>
      </c>
      <c r="CK93" s="454"/>
      <c r="CL93" s="139"/>
      <c r="CM93" s="14">
        <v>40</v>
      </c>
    </row>
    <row r="94" spans="1:95" ht="20.100000000000001" customHeight="1" x14ac:dyDescent="0.25">
      <c r="A94" s="6" t="s">
        <v>159</v>
      </c>
      <c r="B94" s="217" t="s">
        <v>29</v>
      </c>
      <c r="C94" s="238" t="s">
        <v>95</v>
      </c>
      <c r="D94" s="41">
        <f>N94+Y94+AJ94+AU94+BF94+BQ94+CB94</f>
        <v>72</v>
      </c>
      <c r="E94" s="49"/>
      <c r="F94" s="49">
        <f>P94+AA94+AL94+AW94+BH94+BS94+CD94</f>
        <v>72</v>
      </c>
      <c r="G94" s="49">
        <f>Q94+AB94+AM94+AX94+BI94+BT94+CE94</f>
        <v>0</v>
      </c>
      <c r="H94" s="49">
        <f>S94+AD94+AO94+AZ94+BK94+BV94+CG94</f>
        <v>0</v>
      </c>
      <c r="I94" s="49">
        <f>R94+AC94+AN94+AY94+BJ94+BU94+CF94</f>
        <v>72</v>
      </c>
      <c r="J94" s="49">
        <f>T94+AE94+AP94+BA94+BL94+BW94+CH94</f>
        <v>0</v>
      </c>
      <c r="K94" s="49">
        <f>U94+AF94+AQ94+BB94+BM94+BX94+CI94</f>
        <v>0</v>
      </c>
      <c r="L94" s="49">
        <f>V94+AG94+AR94+BC94+BN94+BY94+CJ94</f>
        <v>0</v>
      </c>
      <c r="M94" s="78"/>
      <c r="N94" s="92">
        <f>P94+U94+V94</f>
        <v>0</v>
      </c>
      <c r="O94" s="268"/>
      <c r="P94" s="95">
        <f t="shared" si="229"/>
        <v>0</v>
      </c>
      <c r="Q94" s="96">
        <f t="shared" si="230"/>
        <v>0</v>
      </c>
      <c r="R94" s="84"/>
      <c r="S94" s="176"/>
      <c r="T94" s="172"/>
      <c r="U94" s="87"/>
      <c r="V94" s="90"/>
      <c r="W94" s="182"/>
      <c r="X94" s="78"/>
      <c r="Y94" s="92">
        <f>AA94+AF94+AG94</f>
        <v>0</v>
      </c>
      <c r="Z94" s="268"/>
      <c r="AA94" s="95">
        <f t="shared" si="231"/>
        <v>0</v>
      </c>
      <c r="AB94" s="96">
        <f t="shared" si="232"/>
        <v>0</v>
      </c>
      <c r="AC94" s="84"/>
      <c r="AD94" s="176"/>
      <c r="AE94" s="172"/>
      <c r="AF94" s="87"/>
      <c r="AG94" s="90"/>
      <c r="AH94" s="182"/>
      <c r="AI94" s="78"/>
      <c r="AJ94" s="92">
        <f>AL94+AQ94+AR94</f>
        <v>0</v>
      </c>
      <c r="AK94" s="268"/>
      <c r="AL94" s="95">
        <f t="shared" si="233"/>
        <v>0</v>
      </c>
      <c r="AM94" s="96">
        <f t="shared" si="234"/>
        <v>0</v>
      </c>
      <c r="AN94" s="84"/>
      <c r="AO94" s="176"/>
      <c r="AP94" s="172"/>
      <c r="AQ94" s="87"/>
      <c r="AR94" s="90"/>
      <c r="AS94" s="182"/>
      <c r="AT94" s="78"/>
      <c r="AU94" s="92">
        <f>AW94+BB94+BC94</f>
        <v>0</v>
      </c>
      <c r="AV94" s="268"/>
      <c r="AW94" s="95">
        <f t="shared" si="235"/>
        <v>0</v>
      </c>
      <c r="AX94" s="96">
        <f t="shared" si="236"/>
        <v>0</v>
      </c>
      <c r="AY94" s="84"/>
      <c r="AZ94" s="176"/>
      <c r="BA94" s="172"/>
      <c r="BB94" s="87"/>
      <c r="BC94" s="90"/>
      <c r="BD94" s="182"/>
      <c r="BE94" s="78"/>
      <c r="BF94" s="92">
        <f>BH94+BM94+BN94</f>
        <v>0</v>
      </c>
      <c r="BG94" s="268"/>
      <c r="BH94" s="95">
        <f t="shared" si="237"/>
        <v>0</v>
      </c>
      <c r="BI94" s="96">
        <f t="shared" si="238"/>
        <v>0</v>
      </c>
      <c r="BJ94" s="84"/>
      <c r="BK94" s="176"/>
      <c r="BL94" s="172"/>
      <c r="BM94" s="87"/>
      <c r="BN94" s="90"/>
      <c r="BO94" s="182"/>
      <c r="BP94" s="78"/>
      <c r="BQ94" s="92">
        <f>BS94+BX94+BY94</f>
        <v>0</v>
      </c>
      <c r="BR94" s="268"/>
      <c r="BS94" s="324">
        <f t="shared" si="239"/>
        <v>0</v>
      </c>
      <c r="BT94" s="96">
        <f t="shared" si="240"/>
        <v>0</v>
      </c>
      <c r="BU94" s="84"/>
      <c r="BV94" s="176"/>
      <c r="BW94" s="172"/>
      <c r="BX94" s="87"/>
      <c r="BY94" s="90"/>
      <c r="BZ94" s="182"/>
      <c r="CA94" s="78"/>
      <c r="CB94" s="92">
        <f>CD94+CI94+CJ94</f>
        <v>72</v>
      </c>
      <c r="CC94" s="268"/>
      <c r="CD94" s="95">
        <v>72</v>
      </c>
      <c r="CE94" s="96">
        <f t="shared" si="241"/>
        <v>0</v>
      </c>
      <c r="CF94" s="84">
        <v>72</v>
      </c>
      <c r="CG94" s="176"/>
      <c r="CH94" s="172"/>
      <c r="CI94" s="87"/>
      <c r="CJ94" s="90"/>
      <c r="CK94" s="182" t="s">
        <v>95</v>
      </c>
      <c r="CL94" s="139"/>
      <c r="CM94" s="15">
        <v>75</v>
      </c>
    </row>
    <row r="95" spans="1:95" ht="20.100000000000001" customHeight="1" x14ac:dyDescent="0.25">
      <c r="A95" s="6" t="s">
        <v>160</v>
      </c>
      <c r="B95" s="217" t="s">
        <v>32</v>
      </c>
      <c r="C95" s="238" t="s">
        <v>96</v>
      </c>
      <c r="D95" s="41">
        <f>N95+Y95+AJ95+AU95+BF95+BQ95+CB95</f>
        <v>72</v>
      </c>
      <c r="E95" s="49"/>
      <c r="F95" s="49">
        <f>P95+AA95+AL95+AW95+BH95+BS95+CD95</f>
        <v>72</v>
      </c>
      <c r="G95" s="49"/>
      <c r="H95" s="49"/>
      <c r="I95" s="49">
        <f>R95+AC95+AN95+AY95+BJ95+BU95+CF95</f>
        <v>72</v>
      </c>
      <c r="J95" s="49"/>
      <c r="K95" s="49"/>
      <c r="L95" s="49"/>
      <c r="M95" s="78"/>
      <c r="N95" s="92"/>
      <c r="O95" s="268"/>
      <c r="P95" s="95">
        <f t="shared" si="229"/>
        <v>0</v>
      </c>
      <c r="Q95" s="96">
        <f t="shared" si="230"/>
        <v>0</v>
      </c>
      <c r="R95" s="84"/>
      <c r="S95" s="176"/>
      <c r="T95" s="172"/>
      <c r="U95" s="87"/>
      <c r="V95" s="90"/>
      <c r="W95" s="182"/>
      <c r="X95" s="78"/>
      <c r="Y95" s="92"/>
      <c r="Z95" s="268"/>
      <c r="AA95" s="95">
        <f t="shared" si="231"/>
        <v>0</v>
      </c>
      <c r="AB95" s="96">
        <f t="shared" si="232"/>
        <v>0</v>
      </c>
      <c r="AC95" s="84"/>
      <c r="AD95" s="176"/>
      <c r="AE95" s="172"/>
      <c r="AF95" s="87"/>
      <c r="AG95" s="90"/>
      <c r="AH95" s="182"/>
      <c r="AI95" s="78"/>
      <c r="AJ95" s="92"/>
      <c r="AK95" s="268"/>
      <c r="AL95" s="95">
        <f t="shared" si="233"/>
        <v>0</v>
      </c>
      <c r="AM95" s="96">
        <f t="shared" si="234"/>
        <v>0</v>
      </c>
      <c r="AN95" s="84"/>
      <c r="AO95" s="176"/>
      <c r="AP95" s="172"/>
      <c r="AQ95" s="87"/>
      <c r="AR95" s="90"/>
      <c r="AS95" s="182"/>
      <c r="AT95" s="78"/>
      <c r="AU95" s="92"/>
      <c r="AV95" s="268"/>
      <c r="AW95" s="95">
        <f t="shared" si="235"/>
        <v>0</v>
      </c>
      <c r="AX95" s="96">
        <f t="shared" si="236"/>
        <v>0</v>
      </c>
      <c r="AY95" s="84"/>
      <c r="AZ95" s="176"/>
      <c r="BA95" s="172"/>
      <c r="BB95" s="87"/>
      <c r="BC95" s="90"/>
      <c r="BD95" s="182"/>
      <c r="BE95" s="78"/>
      <c r="BF95" s="92"/>
      <c r="BG95" s="268"/>
      <c r="BH95" s="95">
        <f t="shared" si="237"/>
        <v>0</v>
      </c>
      <c r="BI95" s="96">
        <f t="shared" si="238"/>
        <v>0</v>
      </c>
      <c r="BJ95" s="84"/>
      <c r="BK95" s="176"/>
      <c r="BL95" s="172"/>
      <c r="BM95" s="87"/>
      <c r="BN95" s="90"/>
      <c r="BO95" s="182"/>
      <c r="BP95" s="78"/>
      <c r="BQ95" s="92"/>
      <c r="BR95" s="268"/>
      <c r="BS95" s="324">
        <f t="shared" si="239"/>
        <v>0</v>
      </c>
      <c r="BT95" s="96">
        <f t="shared" si="240"/>
        <v>0</v>
      </c>
      <c r="BU95" s="84"/>
      <c r="BV95" s="176"/>
      <c r="BW95" s="172"/>
      <c r="BX95" s="87"/>
      <c r="BY95" s="90"/>
      <c r="BZ95" s="182"/>
      <c r="CA95" s="78"/>
      <c r="CB95" s="92">
        <f>CD95+CI95+CJ95</f>
        <v>72</v>
      </c>
      <c r="CC95" s="268"/>
      <c r="CD95" s="95">
        <v>72</v>
      </c>
      <c r="CE95" s="96">
        <f t="shared" si="241"/>
        <v>0</v>
      </c>
      <c r="CF95" s="84">
        <v>72</v>
      </c>
      <c r="CG95" s="176"/>
      <c r="CH95" s="172"/>
      <c r="CI95" s="87"/>
      <c r="CJ95" s="90"/>
      <c r="CK95" s="182" t="s">
        <v>95</v>
      </c>
      <c r="CL95" s="139"/>
      <c r="CM95" s="15">
        <v>100</v>
      </c>
    </row>
    <row r="96" spans="1:95" ht="18.75" customHeight="1" x14ac:dyDescent="0.25">
      <c r="A96" s="6"/>
      <c r="B96" s="228" t="s">
        <v>296</v>
      </c>
      <c r="C96" s="238" t="s">
        <v>288</v>
      </c>
      <c r="D96" s="41">
        <f>N96+Y96+AJ96+AU96+BF96+BQ96+CB96</f>
        <v>8</v>
      </c>
      <c r="E96" s="49"/>
      <c r="F96" s="49"/>
      <c r="G96" s="49">
        <f>Q96+AB96+AM96+AX96+BI96+BT96+CE96</f>
        <v>0</v>
      </c>
      <c r="H96" s="49">
        <f>S96+AD96+AO96+AZ96+BK96+BV96+CG96</f>
        <v>0</v>
      </c>
      <c r="I96" s="49">
        <f>R96+AC96+AN96+AY96+BJ96+BU96+CF96</f>
        <v>0</v>
      </c>
      <c r="J96" s="49">
        <f>T96+AE96+AP96+BA96+BL96+BW96+CH96</f>
        <v>0</v>
      </c>
      <c r="K96" s="49">
        <f>U96+AF96+AQ96+BB96+BM96+BX96+CI96</f>
        <v>4</v>
      </c>
      <c r="L96" s="49">
        <f>V96+AG96+AR96+BC96+BN96+BY96+CJ96</f>
        <v>4</v>
      </c>
      <c r="M96" s="78"/>
      <c r="N96" s="92">
        <f>P96+U96+V96</f>
        <v>0</v>
      </c>
      <c r="O96" s="268"/>
      <c r="P96" s="95">
        <f t="shared" si="229"/>
        <v>0</v>
      </c>
      <c r="Q96" s="96">
        <f t="shared" si="230"/>
        <v>0</v>
      </c>
      <c r="R96" s="84"/>
      <c r="S96" s="176"/>
      <c r="T96" s="172"/>
      <c r="U96" s="87"/>
      <c r="V96" s="90"/>
      <c r="W96" s="182"/>
      <c r="X96" s="78"/>
      <c r="Y96" s="92">
        <f>AA96+AF96+AG96</f>
        <v>0</v>
      </c>
      <c r="Z96" s="268"/>
      <c r="AA96" s="95">
        <f t="shared" si="231"/>
        <v>0</v>
      </c>
      <c r="AB96" s="96">
        <f t="shared" si="232"/>
        <v>0</v>
      </c>
      <c r="AC96" s="84"/>
      <c r="AD96" s="176"/>
      <c r="AE96" s="172"/>
      <c r="AF96" s="87"/>
      <c r="AG96" s="90"/>
      <c r="AH96" s="182"/>
      <c r="AI96" s="78"/>
      <c r="AJ96" s="92">
        <f>AL96+AQ96+AR96</f>
        <v>0</v>
      </c>
      <c r="AK96" s="268"/>
      <c r="AL96" s="95">
        <f t="shared" si="233"/>
        <v>0</v>
      </c>
      <c r="AM96" s="96">
        <f t="shared" si="234"/>
        <v>0</v>
      </c>
      <c r="AN96" s="84"/>
      <c r="AO96" s="176"/>
      <c r="AP96" s="172"/>
      <c r="AQ96" s="87"/>
      <c r="AR96" s="90"/>
      <c r="AS96" s="182"/>
      <c r="AT96" s="78"/>
      <c r="AU96" s="92">
        <f>AW96+BB96+BC96</f>
        <v>0</v>
      </c>
      <c r="AV96" s="268"/>
      <c r="AW96" s="95">
        <f t="shared" si="235"/>
        <v>0</v>
      </c>
      <c r="AX96" s="96">
        <f t="shared" si="236"/>
        <v>0</v>
      </c>
      <c r="AY96" s="84"/>
      <c r="AZ96" s="176"/>
      <c r="BA96" s="172"/>
      <c r="BB96" s="87"/>
      <c r="BC96" s="90"/>
      <c r="BD96" s="182"/>
      <c r="BE96" s="78"/>
      <c r="BF96" s="92">
        <f>BH96+BM96+BN96</f>
        <v>0</v>
      </c>
      <c r="BG96" s="268"/>
      <c r="BH96" s="95">
        <f t="shared" si="237"/>
        <v>0</v>
      </c>
      <c r="BI96" s="96">
        <f t="shared" si="238"/>
        <v>0</v>
      </c>
      <c r="BJ96" s="84"/>
      <c r="BK96" s="176"/>
      <c r="BL96" s="172"/>
      <c r="BM96" s="87"/>
      <c r="BN96" s="90"/>
      <c r="BO96" s="182"/>
      <c r="BP96" s="78"/>
      <c r="BQ96" s="92">
        <f>BS96+BX96+BY96</f>
        <v>0</v>
      </c>
      <c r="BR96" s="268"/>
      <c r="BS96" s="324">
        <f t="shared" si="239"/>
        <v>0</v>
      </c>
      <c r="BT96" s="96">
        <f t="shared" si="240"/>
        <v>0</v>
      </c>
      <c r="BU96" s="84"/>
      <c r="BV96" s="176"/>
      <c r="BW96" s="172"/>
      <c r="BX96" s="87"/>
      <c r="BY96" s="90"/>
      <c r="BZ96" s="182"/>
      <c r="CA96" s="78"/>
      <c r="CB96" s="92">
        <f>CD96+CI96+CJ96</f>
        <v>8</v>
      </c>
      <c r="CC96" s="268"/>
      <c r="CD96" s="95"/>
      <c r="CE96" s="96"/>
      <c r="CF96" s="84"/>
      <c r="CG96" s="176"/>
      <c r="CH96" s="172"/>
      <c r="CI96" s="87">
        <v>4</v>
      </c>
      <c r="CJ96" s="90">
        <v>4</v>
      </c>
      <c r="CK96" s="182" t="s">
        <v>288</v>
      </c>
      <c r="CL96" s="139"/>
      <c r="CM96" s="15"/>
    </row>
    <row r="97" spans="1:96" ht="7.5" customHeight="1" x14ac:dyDescent="0.25">
      <c r="A97" s="97"/>
      <c r="B97" s="223"/>
      <c r="C97" s="255"/>
      <c r="D97" s="109"/>
      <c r="E97" s="109"/>
      <c r="F97" s="109"/>
      <c r="G97" s="109"/>
      <c r="H97" s="109"/>
      <c r="I97" s="109"/>
      <c r="J97" s="109"/>
      <c r="K97" s="109"/>
      <c r="L97" s="109"/>
      <c r="M97" s="78"/>
      <c r="N97" s="77"/>
      <c r="O97" s="266"/>
      <c r="P97" s="77"/>
      <c r="Q97" s="77"/>
      <c r="R97" s="78"/>
      <c r="S97" s="78"/>
      <c r="T97" s="78"/>
      <c r="U97" s="78"/>
      <c r="V97" s="78"/>
      <c r="W97" s="78"/>
      <c r="X97" s="78"/>
      <c r="Y97" s="77"/>
      <c r="Z97" s="266"/>
      <c r="AA97" s="77"/>
      <c r="AB97" s="77"/>
      <c r="AC97" s="78"/>
      <c r="AD97" s="78"/>
      <c r="AE97" s="78"/>
      <c r="AF97" s="78"/>
      <c r="AG97" s="78"/>
      <c r="AH97" s="78"/>
      <c r="AI97" s="78"/>
      <c r="AJ97" s="77"/>
      <c r="AK97" s="266"/>
      <c r="AL97" s="77"/>
      <c r="AM97" s="77"/>
      <c r="AN97" s="78"/>
      <c r="AO97" s="78"/>
      <c r="AP97" s="78"/>
      <c r="AQ97" s="78"/>
      <c r="AR97" s="78"/>
      <c r="AS97" s="78"/>
      <c r="AT97" s="78"/>
      <c r="AU97" s="77"/>
      <c r="AV97" s="266"/>
      <c r="AW97" s="77"/>
      <c r="AX97" s="77"/>
      <c r="AY97" s="78"/>
      <c r="AZ97" s="78"/>
      <c r="BA97" s="78"/>
      <c r="BB97" s="78"/>
      <c r="BC97" s="78"/>
      <c r="BD97" s="78"/>
      <c r="BE97" s="78"/>
      <c r="BF97" s="77"/>
      <c r="BG97" s="266"/>
      <c r="BH97" s="77"/>
      <c r="BI97" s="77"/>
      <c r="BJ97" s="78"/>
      <c r="BK97" s="78"/>
      <c r="BL97" s="78"/>
      <c r="BM97" s="78"/>
      <c r="BN97" s="78"/>
      <c r="BO97" s="78"/>
      <c r="BP97" s="78"/>
      <c r="BQ97" s="77"/>
      <c r="BR97" s="266"/>
      <c r="BS97" s="293"/>
      <c r="BT97" s="77"/>
      <c r="BU97" s="78"/>
      <c r="BV97" s="78"/>
      <c r="BW97" s="78"/>
      <c r="BX97" s="78"/>
      <c r="BY97" s="78"/>
      <c r="BZ97" s="78"/>
      <c r="CA97" s="78"/>
      <c r="CB97" s="77"/>
      <c r="CC97" s="266"/>
      <c r="CD97" s="77"/>
      <c r="CE97" s="77"/>
      <c r="CF97" s="78"/>
      <c r="CG97" s="78"/>
      <c r="CH97" s="78"/>
      <c r="CI97" s="78"/>
      <c r="CJ97" s="78"/>
      <c r="CK97" s="78"/>
      <c r="CL97" s="139"/>
      <c r="CM97" s="15"/>
    </row>
    <row r="98" spans="1:96" ht="20.100000000000001" customHeight="1" x14ac:dyDescent="0.25">
      <c r="A98" s="6"/>
      <c r="B98" s="229" t="s">
        <v>161</v>
      </c>
      <c r="D98" s="41">
        <v>144</v>
      </c>
      <c r="E98" s="49"/>
      <c r="F98" s="49">
        <v>144</v>
      </c>
      <c r="G98" s="49">
        <f>Q98+AB98+AM98+AX98+BI98+BT98+CE98</f>
        <v>0</v>
      </c>
      <c r="H98" s="49">
        <f>S98+AD98+AO98+AZ98+BK98+BV98+CG98</f>
        <v>0</v>
      </c>
      <c r="I98" s="49">
        <f>R98+AC98+AN98+AY98+BJ98+BU98+CF98</f>
        <v>0</v>
      </c>
      <c r="J98" s="49">
        <f>T98+AE98+AP98+BA98+BL98+BW98+CH98</f>
        <v>0</v>
      </c>
      <c r="K98" s="49">
        <f>U98+AF98+AQ98+BB98+BM98+BX98+CI98</f>
        <v>0</v>
      </c>
      <c r="L98" s="49">
        <f>V98+AG98+AR98+BC98+BN98+BY98+CJ98</f>
        <v>0</v>
      </c>
      <c r="M98" s="78"/>
      <c r="N98" s="2"/>
      <c r="O98" s="275"/>
      <c r="P98" s="2"/>
      <c r="Q98" s="2"/>
      <c r="R98" s="2"/>
      <c r="S98" s="2"/>
      <c r="T98" s="2"/>
      <c r="U98" s="2"/>
      <c r="V98" s="2"/>
      <c r="W98" s="2"/>
      <c r="X98" s="78"/>
      <c r="Y98" s="2"/>
      <c r="Z98" s="275"/>
      <c r="AA98" s="2"/>
      <c r="AB98" s="2"/>
      <c r="AC98" s="2"/>
      <c r="AD98" s="2"/>
      <c r="AE98" s="2"/>
      <c r="AF98" s="2"/>
      <c r="AG98" s="2"/>
      <c r="AH98" s="2"/>
      <c r="AI98" s="78"/>
      <c r="AJ98" s="2"/>
      <c r="AK98" s="275"/>
      <c r="AL98" s="2"/>
      <c r="AM98" s="2"/>
      <c r="AN98" s="2"/>
      <c r="AO98" s="2"/>
      <c r="AP98" s="2"/>
      <c r="AQ98" s="2"/>
      <c r="AR98" s="2"/>
      <c r="AS98" s="2"/>
      <c r="AT98" s="78"/>
      <c r="AU98" s="2"/>
      <c r="AV98" s="275"/>
      <c r="AW98" s="2"/>
      <c r="AX98" s="2"/>
      <c r="AY98" s="2"/>
      <c r="AZ98" s="2"/>
      <c r="BA98" s="2"/>
      <c r="BB98" s="2"/>
      <c r="BC98" s="2"/>
      <c r="BD98" s="2"/>
      <c r="BE98" s="78"/>
      <c r="BF98" s="2"/>
      <c r="BG98" s="275"/>
      <c r="BH98" s="2"/>
      <c r="BI98" s="2"/>
      <c r="BJ98" s="2"/>
      <c r="BK98" s="2"/>
      <c r="BL98" s="2"/>
      <c r="BM98" s="2"/>
      <c r="BN98" s="2"/>
      <c r="BO98" s="2"/>
      <c r="BP98" s="78"/>
      <c r="BQ98" s="2"/>
      <c r="BR98" s="275"/>
      <c r="BS98" s="275"/>
      <c r="BT98" s="2"/>
      <c r="BU98" s="2"/>
      <c r="BV98" s="2"/>
      <c r="BW98" s="2"/>
      <c r="BX98" s="2"/>
      <c r="BY98" s="2"/>
      <c r="BZ98" s="2"/>
      <c r="CA98" s="78"/>
      <c r="CB98" s="2"/>
      <c r="CC98" s="275"/>
      <c r="CD98" s="2"/>
      <c r="CE98" s="2"/>
      <c r="CF98" s="2"/>
      <c r="CG98" s="2"/>
      <c r="CH98" s="2"/>
      <c r="CI98" s="2"/>
      <c r="CJ98" s="2"/>
      <c r="CK98" s="2"/>
      <c r="CL98" s="139"/>
    </row>
    <row r="99" spans="1:96" ht="20.100000000000001" customHeight="1" x14ac:dyDescent="0.25">
      <c r="A99" s="4"/>
      <c r="B99" s="224" t="s">
        <v>220</v>
      </c>
      <c r="C99" s="244"/>
      <c r="D99" s="41">
        <v>216</v>
      </c>
      <c r="E99" s="49"/>
      <c r="F99" s="49">
        <v>216</v>
      </c>
      <c r="G99" s="49">
        <f>Q99+AB99+AM99+AX99+BI99+BT99+CE99</f>
        <v>0</v>
      </c>
      <c r="H99" s="49">
        <f>S99+AD99+AO99+AZ99+BK99+BV99+CG99</f>
        <v>0</v>
      </c>
      <c r="I99" s="49">
        <f>R99+AC99+AN99+AY99+BJ99+BU99+CF99</f>
        <v>0</v>
      </c>
      <c r="J99" s="49">
        <f>T99+AE99+AP99+BA99+BL99+BW99+CH99</f>
        <v>0</v>
      </c>
      <c r="K99" s="49">
        <f>U99+AF99+AQ99+BB99+BM99+BX99+CI99</f>
        <v>0</v>
      </c>
      <c r="L99" s="49">
        <f>V99+AG99+AR99+BC99+BN99+BY99+CJ99</f>
        <v>0</v>
      </c>
      <c r="M99" s="78"/>
      <c r="N99" s="2"/>
      <c r="O99" s="275"/>
      <c r="P99" s="2"/>
      <c r="Q99" s="2"/>
      <c r="R99" s="2"/>
      <c r="S99" s="2"/>
      <c r="T99" s="2"/>
      <c r="U99" s="2"/>
      <c r="V99" s="2"/>
      <c r="W99" s="2"/>
      <c r="X99" s="78"/>
      <c r="Y99" s="2"/>
      <c r="Z99" s="275"/>
      <c r="AA99" s="2"/>
      <c r="AB99" s="2"/>
      <c r="AC99" s="2"/>
      <c r="AD99" s="2"/>
      <c r="AE99" s="2"/>
      <c r="AF99" s="2"/>
      <c r="AG99" s="2"/>
      <c r="AH99" s="2"/>
      <c r="AI99" s="78"/>
      <c r="AJ99" s="2"/>
      <c r="AK99" s="275"/>
      <c r="AL99" s="2"/>
      <c r="AM99" s="2"/>
      <c r="AN99" s="2"/>
      <c r="AO99" s="2"/>
      <c r="AP99" s="2"/>
      <c r="AQ99" s="2"/>
      <c r="AR99" s="2"/>
      <c r="AS99" s="2"/>
      <c r="AT99" s="78"/>
      <c r="AU99" s="2"/>
      <c r="AV99" s="275"/>
      <c r="AW99" s="2"/>
      <c r="AX99" s="2"/>
      <c r="AY99" s="2"/>
      <c r="AZ99" s="2"/>
      <c r="BA99" s="2"/>
      <c r="BB99" s="2"/>
      <c r="BC99" s="2"/>
      <c r="BD99" s="2"/>
      <c r="BE99" s="78"/>
      <c r="BF99" s="2"/>
      <c r="BG99" s="275"/>
      <c r="BH99" s="2"/>
      <c r="BI99" s="2"/>
      <c r="BJ99" s="2"/>
      <c r="BK99" s="2"/>
      <c r="BL99" s="2"/>
      <c r="BM99" s="2"/>
      <c r="BN99" s="2"/>
      <c r="BO99" s="2"/>
      <c r="BP99" s="78"/>
      <c r="BQ99" s="2"/>
      <c r="BR99" s="275"/>
      <c r="BS99" s="275"/>
      <c r="BT99" s="2"/>
      <c r="BU99" s="2"/>
      <c r="BV99" s="2"/>
      <c r="BW99" s="2"/>
      <c r="BX99" s="2"/>
      <c r="BY99" s="2"/>
      <c r="BZ99" s="2"/>
      <c r="CA99" s="78"/>
      <c r="CB99" s="2"/>
      <c r="CC99" s="275"/>
      <c r="CD99" s="2"/>
      <c r="CE99" s="2"/>
      <c r="CF99" s="2"/>
      <c r="CG99" s="2"/>
      <c r="CH99" s="2"/>
      <c r="CI99" s="2"/>
      <c r="CJ99" s="2"/>
      <c r="CK99" s="2"/>
      <c r="CL99" s="139"/>
    </row>
    <row r="100" spans="1:96" ht="20.100000000000001" customHeight="1" x14ac:dyDescent="0.25">
      <c r="A100" s="4"/>
      <c r="B100" s="225" t="s">
        <v>33</v>
      </c>
      <c r="C100" s="244"/>
      <c r="D100" s="308">
        <f>N100+Y100+AJ100+AU100+BF100+BQ100+CB100+D98+D99</f>
        <v>5940</v>
      </c>
      <c r="E100" s="49"/>
      <c r="F100" s="49">
        <v>5580</v>
      </c>
      <c r="G100" s="49">
        <f>Q100+AB100+AM100+AX100+BI100+BT100+CE100</f>
        <v>3565</v>
      </c>
      <c r="H100" s="49">
        <f>S100+AD100+AO100+AZ100+BK100+BV100+CG100</f>
        <v>0</v>
      </c>
      <c r="I100" s="49">
        <v>1703</v>
      </c>
      <c r="J100" s="49">
        <f>T100+AE100+AP100+BA100+BL100+BW100+CH100</f>
        <v>60</v>
      </c>
      <c r="K100" s="49">
        <f>U100+AF100+AQ100+BB100+BM100+BX100+CI100</f>
        <v>96</v>
      </c>
      <c r="L100" s="49">
        <f>V100+AG100+AR100+BC100+BN100+BY100+CJ100</f>
        <v>156</v>
      </c>
      <c r="M100" s="79"/>
      <c r="N100" s="3">
        <f t="shared" ref="N100:U100" si="242">N6+N26+N35+N40+N55+N98+N99</f>
        <v>612</v>
      </c>
      <c r="O100" s="276">
        <f t="shared" si="242"/>
        <v>36</v>
      </c>
      <c r="P100" s="3">
        <f t="shared" si="242"/>
        <v>612</v>
      </c>
      <c r="Q100" s="3">
        <f t="shared" si="242"/>
        <v>552</v>
      </c>
      <c r="R100" s="3">
        <f t="shared" si="242"/>
        <v>60</v>
      </c>
      <c r="S100" s="3">
        <f t="shared" si="242"/>
        <v>0</v>
      </c>
      <c r="T100" s="3">
        <f t="shared" si="242"/>
        <v>0</v>
      </c>
      <c r="U100" s="3">
        <f t="shared" si="242"/>
        <v>0</v>
      </c>
      <c r="V100" s="3"/>
      <c r="W100" s="3"/>
      <c r="X100" s="79"/>
      <c r="Y100" s="3">
        <f t="shared" ref="Y100:AF100" si="243">Y6+Y26+Y35+Y40+Y55+Y98+Y99</f>
        <v>864</v>
      </c>
      <c r="Z100" s="276">
        <f t="shared" si="243"/>
        <v>36</v>
      </c>
      <c r="AA100" s="3">
        <f t="shared" si="243"/>
        <v>792</v>
      </c>
      <c r="AB100" s="3">
        <f t="shared" si="243"/>
        <v>685</v>
      </c>
      <c r="AC100" s="3">
        <f t="shared" si="243"/>
        <v>107</v>
      </c>
      <c r="AD100" s="3">
        <f t="shared" si="243"/>
        <v>0</v>
      </c>
      <c r="AE100" s="3">
        <f t="shared" si="243"/>
        <v>0</v>
      </c>
      <c r="AF100" s="3">
        <f t="shared" si="243"/>
        <v>36</v>
      </c>
      <c r="AG100" s="3">
        <v>36</v>
      </c>
      <c r="AH100" s="3"/>
      <c r="AI100" s="79"/>
      <c r="AJ100" s="3">
        <f t="shared" ref="AJ100:AR100" si="244">AJ6+AJ26+AJ35+AJ40+AJ55+AJ98+AJ99</f>
        <v>612</v>
      </c>
      <c r="AK100" s="276">
        <f t="shared" si="244"/>
        <v>36</v>
      </c>
      <c r="AL100" s="3">
        <f t="shared" si="244"/>
        <v>576</v>
      </c>
      <c r="AM100" s="3">
        <f t="shared" si="244"/>
        <v>404</v>
      </c>
      <c r="AN100" s="3">
        <f t="shared" si="244"/>
        <v>172</v>
      </c>
      <c r="AO100" s="3">
        <f t="shared" si="244"/>
        <v>0</v>
      </c>
      <c r="AP100" s="3">
        <f t="shared" si="244"/>
        <v>0</v>
      </c>
      <c r="AQ100" s="3">
        <f t="shared" si="244"/>
        <v>8</v>
      </c>
      <c r="AR100" s="3">
        <f t="shared" si="244"/>
        <v>28</v>
      </c>
      <c r="AS100" s="3"/>
      <c r="AT100" s="79"/>
      <c r="AU100" s="3">
        <f t="shared" ref="AU100:BC100" si="245">AU6+AU26+AU35+AU40+AU55+AU98+AU99</f>
        <v>864</v>
      </c>
      <c r="AV100" s="276">
        <f t="shared" si="245"/>
        <v>36</v>
      </c>
      <c r="AW100" s="3">
        <f t="shared" si="245"/>
        <v>828</v>
      </c>
      <c r="AX100" s="3">
        <f t="shared" si="245"/>
        <v>510</v>
      </c>
      <c r="AY100" s="3">
        <f t="shared" si="245"/>
        <v>318</v>
      </c>
      <c r="AZ100" s="3">
        <f t="shared" si="245"/>
        <v>0</v>
      </c>
      <c r="BA100" s="3">
        <f t="shared" si="245"/>
        <v>0</v>
      </c>
      <c r="BB100" s="3">
        <f t="shared" si="245"/>
        <v>14</v>
      </c>
      <c r="BC100" s="3">
        <f t="shared" si="245"/>
        <v>22</v>
      </c>
      <c r="BD100" s="3"/>
      <c r="BE100" s="79"/>
      <c r="BF100" s="3">
        <f t="shared" ref="BF100:BO100" si="246">BF6+BF26+BF35+BF40+BF55+BF98+BF99</f>
        <v>612</v>
      </c>
      <c r="BG100" s="276">
        <f t="shared" si="246"/>
        <v>36</v>
      </c>
      <c r="BH100" s="3">
        <f t="shared" si="246"/>
        <v>576</v>
      </c>
      <c r="BI100" s="3">
        <f t="shared" si="246"/>
        <v>236</v>
      </c>
      <c r="BJ100" s="3">
        <f t="shared" si="246"/>
        <v>268</v>
      </c>
      <c r="BK100" s="3">
        <f t="shared" si="246"/>
        <v>0</v>
      </c>
      <c r="BL100" s="3">
        <f t="shared" si="246"/>
        <v>10</v>
      </c>
      <c r="BM100" s="3">
        <f t="shared" si="246"/>
        <v>12</v>
      </c>
      <c r="BN100" s="3">
        <f t="shared" si="246"/>
        <v>24</v>
      </c>
      <c r="BO100" s="3">
        <f t="shared" si="246"/>
        <v>0</v>
      </c>
      <c r="BP100" s="79"/>
      <c r="BQ100" s="3">
        <f t="shared" ref="BQ100:BY100" si="247">BQ6+BQ26+BQ35+BQ40+BQ55+BQ98+BQ99</f>
        <v>900</v>
      </c>
      <c r="BR100" s="276">
        <f t="shared" si="247"/>
        <v>36</v>
      </c>
      <c r="BS100" s="276">
        <f t="shared" si="247"/>
        <v>864</v>
      </c>
      <c r="BT100" s="3">
        <f t="shared" si="247"/>
        <v>580</v>
      </c>
      <c r="BU100" s="3">
        <f t="shared" si="247"/>
        <v>284</v>
      </c>
      <c r="BV100" s="3">
        <f t="shared" si="247"/>
        <v>0</v>
      </c>
      <c r="BW100" s="3">
        <f t="shared" si="247"/>
        <v>20</v>
      </c>
      <c r="BX100" s="3">
        <f t="shared" si="247"/>
        <v>14</v>
      </c>
      <c r="BY100" s="3">
        <f t="shared" si="247"/>
        <v>22</v>
      </c>
      <c r="BZ100" s="3"/>
      <c r="CA100" s="79"/>
      <c r="CB100" s="3">
        <f t="shared" ref="CB100:CJ100" si="248">CB6+CB26+CB35+CB40+CB55+CB98+CB99</f>
        <v>1116</v>
      </c>
      <c r="CC100" s="276">
        <f t="shared" si="248"/>
        <v>36.004705882352944</v>
      </c>
      <c r="CD100" s="3">
        <f t="shared" si="248"/>
        <v>1080</v>
      </c>
      <c r="CE100" s="3">
        <f t="shared" si="248"/>
        <v>598</v>
      </c>
      <c r="CF100" s="3">
        <f t="shared" si="248"/>
        <v>482</v>
      </c>
      <c r="CG100" s="3">
        <f t="shared" si="248"/>
        <v>0</v>
      </c>
      <c r="CH100" s="3">
        <f t="shared" si="248"/>
        <v>30</v>
      </c>
      <c r="CI100" s="3">
        <f t="shared" si="248"/>
        <v>12</v>
      </c>
      <c r="CJ100" s="3">
        <f t="shared" si="248"/>
        <v>24</v>
      </c>
      <c r="CK100" s="3"/>
      <c r="CL100" s="140"/>
      <c r="CM100" s="15"/>
    </row>
    <row r="101" spans="1:96" s="279" customFormat="1" ht="20.100000000000001" customHeight="1" x14ac:dyDescent="0.25">
      <c r="A101" s="304"/>
      <c r="B101" s="305"/>
      <c r="C101" s="306"/>
      <c r="D101" s="307"/>
      <c r="E101" s="71"/>
      <c r="F101" s="71"/>
      <c r="G101" s="71"/>
      <c r="H101" s="71"/>
      <c r="I101" s="71"/>
      <c r="J101" s="71"/>
      <c r="K101" s="71"/>
      <c r="L101" s="71"/>
      <c r="M101" s="71"/>
      <c r="N101" s="71">
        <f>N100/36</f>
        <v>17</v>
      </c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>
        <f>Y100/36</f>
        <v>24</v>
      </c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>
        <f>AJ100/36</f>
        <v>17</v>
      </c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>
        <f>AU100/36</f>
        <v>24</v>
      </c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>
        <f>BF100/36</f>
        <v>17</v>
      </c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0">
        <f>BQ100/36</f>
        <v>25</v>
      </c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0">
        <f>CB100/36</f>
        <v>31</v>
      </c>
      <c r="CC101" s="71"/>
      <c r="CD101" s="70"/>
      <c r="CE101" s="71"/>
      <c r="CF101" s="71"/>
      <c r="CG101" s="71"/>
      <c r="CH101" s="71"/>
      <c r="CI101" s="71"/>
      <c r="CJ101" s="71"/>
      <c r="CK101" s="71"/>
      <c r="CL101" s="71"/>
    </row>
    <row r="102" spans="1:96" ht="20.100000000000001" customHeight="1" x14ac:dyDescent="0.25">
      <c r="A102" s="69"/>
      <c r="B102" s="226"/>
      <c r="C102" s="256"/>
      <c r="D102" s="73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1"/>
      <c r="P102" s="71"/>
      <c r="Q102" s="70"/>
      <c r="R102" s="70"/>
      <c r="S102" s="70"/>
      <c r="T102" s="70"/>
      <c r="U102" s="70"/>
      <c r="V102" s="70"/>
      <c r="W102" s="70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>
        <f>AJ101+AU101</f>
        <v>41</v>
      </c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>
        <f>BB100+BC100</f>
        <v>36</v>
      </c>
      <c r="BC102" s="71"/>
      <c r="BD102" s="71"/>
      <c r="BE102" s="71"/>
      <c r="BF102" s="71">
        <f>BF100/36</f>
        <v>17</v>
      </c>
      <c r="BG102" s="71"/>
      <c r="BH102" s="71">
        <f t="shared" ref="BH102" si="249">BH100/36</f>
        <v>16</v>
      </c>
      <c r="BI102" s="71"/>
      <c r="BJ102" s="71"/>
      <c r="BK102" s="71"/>
      <c r="BL102" s="71"/>
      <c r="BM102" s="71">
        <f>BN100+BM100</f>
        <v>36</v>
      </c>
      <c r="BN102" s="71"/>
      <c r="BO102" s="71"/>
      <c r="BP102" s="71"/>
      <c r="BQ102" s="70">
        <f>BQ100/36</f>
        <v>25</v>
      </c>
      <c r="BR102" s="303"/>
      <c r="BS102" s="71"/>
      <c r="BT102" s="71"/>
      <c r="BU102" s="71"/>
      <c r="BV102" s="71"/>
      <c r="BW102" s="71"/>
      <c r="BX102" s="71">
        <f>BX100+BY100</f>
        <v>36</v>
      </c>
      <c r="BY102" s="71"/>
      <c r="BZ102" s="71"/>
      <c r="CA102" s="71"/>
      <c r="CB102" s="70"/>
      <c r="CC102" s="71"/>
      <c r="CD102" s="70">
        <f>CD100/36</f>
        <v>30</v>
      </c>
      <c r="CE102" s="71"/>
      <c r="CF102" s="71"/>
      <c r="CG102" s="71"/>
      <c r="CH102" s="71"/>
      <c r="CI102" s="71">
        <f>CI100+CJ100</f>
        <v>36</v>
      </c>
      <c r="CJ102" s="71"/>
      <c r="CK102" s="71"/>
      <c r="CL102" s="71"/>
      <c r="CM102" s="15"/>
    </row>
    <row r="103" spans="1:96" x14ac:dyDescent="0.25">
      <c r="D103" s="279"/>
      <c r="F103" s="15"/>
      <c r="G103" s="15"/>
      <c r="N103" s="279"/>
      <c r="AJ103" s="277"/>
      <c r="BF103" s="277">
        <f>BF102+BQ102</f>
        <v>42</v>
      </c>
      <c r="BG103" s="277">
        <f>17*36</f>
        <v>612</v>
      </c>
      <c r="BH103" s="94"/>
      <c r="BP103" s="15"/>
      <c r="BT103" s="15"/>
      <c r="BU103" s="15"/>
      <c r="BV103" s="15"/>
      <c r="BW103" s="15"/>
      <c r="BX103" s="15"/>
      <c r="BY103" s="15"/>
      <c r="BZ103" s="15"/>
      <c r="CA103" s="15"/>
      <c r="CE103" s="15"/>
      <c r="CF103" s="15"/>
      <c r="CG103" s="15"/>
      <c r="CH103" s="15"/>
      <c r="CI103" s="15"/>
      <c r="CJ103" s="15"/>
      <c r="CK103" s="15"/>
      <c r="CL103" s="15"/>
    </row>
    <row r="104" spans="1:96" ht="15.75" customHeight="1" x14ac:dyDescent="0.25">
      <c r="F104" s="15"/>
      <c r="G104" s="15"/>
      <c r="L104" s="74"/>
      <c r="M104" s="74"/>
      <c r="N104" s="592"/>
      <c r="O104" s="593"/>
      <c r="P104" s="593"/>
      <c r="Q104" s="594"/>
      <c r="R104" s="593"/>
      <c r="S104" s="593"/>
      <c r="T104" s="593"/>
      <c r="U104" s="593"/>
      <c r="V104" s="593"/>
      <c r="W104" s="593"/>
      <c r="X104" s="74"/>
      <c r="Y104" s="74"/>
      <c r="Z104" s="280"/>
      <c r="AA104" s="74"/>
      <c r="AB104" s="74"/>
      <c r="AC104" s="74"/>
      <c r="AD104" s="74"/>
      <c r="AE104" s="74"/>
      <c r="AF104" s="74"/>
      <c r="AG104" s="74"/>
      <c r="AH104" s="74"/>
      <c r="AI104" s="74"/>
      <c r="AJ104" s="189"/>
      <c r="AK104" s="278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278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278"/>
      <c r="BH104" s="189"/>
      <c r="BI104" s="189"/>
      <c r="BJ104" s="189"/>
      <c r="BK104" s="189"/>
      <c r="BL104" s="189"/>
      <c r="BM104" s="189"/>
      <c r="BN104" s="189"/>
      <c r="BO104" s="189"/>
      <c r="BP104" s="74"/>
      <c r="BQ104" s="141">
        <f>25*36</f>
        <v>900</v>
      </c>
      <c r="BR104" s="280"/>
      <c r="BS104" s="280"/>
      <c r="BT104" s="74"/>
      <c r="BU104" s="74"/>
      <c r="BV104" s="74"/>
      <c r="BW104" s="74"/>
      <c r="BX104" s="74"/>
      <c r="BY104" s="74"/>
      <c r="BZ104" s="74"/>
      <c r="CA104" s="74"/>
      <c r="CB104" s="141"/>
      <c r="CC104" s="280"/>
      <c r="CD104" s="141"/>
      <c r="CE104" s="74"/>
      <c r="CF104" s="74"/>
      <c r="CG104" s="74"/>
      <c r="CH104" s="74"/>
      <c r="CI104" s="74"/>
      <c r="CJ104" s="74"/>
      <c r="CK104" s="74"/>
      <c r="CL104" s="74"/>
      <c r="CM104" s="74"/>
    </row>
    <row r="105" spans="1:96" x14ac:dyDescent="0.25">
      <c r="L105" s="74"/>
      <c r="M105" s="74"/>
      <c r="N105" s="592"/>
      <c r="O105" s="593"/>
      <c r="P105" s="593"/>
      <c r="Q105" s="74"/>
      <c r="R105" s="74"/>
      <c r="S105" s="74"/>
      <c r="T105" s="74"/>
      <c r="U105" s="74"/>
      <c r="V105" s="593"/>
      <c r="W105" s="593"/>
      <c r="X105" s="74"/>
      <c r="Y105" s="74"/>
      <c r="Z105" s="280"/>
      <c r="AA105" s="74"/>
      <c r="AB105" s="74"/>
      <c r="AC105" s="74"/>
      <c r="AD105" s="74"/>
      <c r="AE105" s="74"/>
      <c r="AF105" s="74"/>
      <c r="AG105" s="74"/>
      <c r="AH105" s="74"/>
      <c r="AI105" s="74"/>
      <c r="AJ105" s="190"/>
      <c r="AK105" s="278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278"/>
      <c r="AW105" s="190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278">
        <f>BG100-36</f>
        <v>0</v>
      </c>
      <c r="BH105" s="189"/>
      <c r="BI105" s="189"/>
      <c r="BJ105" s="189"/>
      <c r="BK105" s="189"/>
      <c r="BL105" s="189"/>
      <c r="BM105" s="189"/>
      <c r="BN105" s="189"/>
      <c r="BO105" s="189"/>
      <c r="BP105" s="141"/>
      <c r="BQ105" s="141"/>
      <c r="BR105" s="280"/>
      <c r="BS105" s="280"/>
      <c r="BT105" s="141"/>
      <c r="BU105" s="141"/>
      <c r="BV105" s="141"/>
      <c r="BW105" s="141"/>
      <c r="BX105" s="141"/>
      <c r="BY105" s="141"/>
      <c r="BZ105" s="141"/>
      <c r="CA105" s="141"/>
      <c r="CB105" s="141"/>
      <c r="CC105" s="280"/>
      <c r="CD105" s="141"/>
      <c r="CE105" s="141"/>
      <c r="CF105" s="141"/>
      <c r="CG105" s="141"/>
      <c r="CH105" s="141"/>
      <c r="CI105" s="141"/>
      <c r="CJ105" s="141"/>
      <c r="CK105" s="141"/>
      <c r="CL105" s="141"/>
      <c r="CM105" s="74"/>
      <c r="CR105" s="15">
        <f>SUM(BP105:CJ105)/36</f>
        <v>0</v>
      </c>
    </row>
    <row r="106" spans="1:96" x14ac:dyDescent="0.25">
      <c r="L106" s="74"/>
      <c r="M106" s="74"/>
      <c r="N106" s="592"/>
      <c r="O106" s="593"/>
      <c r="P106" s="593"/>
      <c r="Q106" s="74"/>
      <c r="R106" s="74"/>
      <c r="S106" s="74"/>
      <c r="T106" s="74"/>
      <c r="U106" s="74"/>
      <c r="V106" s="593"/>
      <c r="W106" s="593"/>
      <c r="X106" s="141"/>
      <c r="Y106" s="141"/>
      <c r="Z106" s="280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90"/>
      <c r="AK106" s="278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278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278"/>
      <c r="BH106" s="190"/>
      <c r="BI106" s="190"/>
      <c r="BJ106" s="190"/>
      <c r="BK106" s="190"/>
      <c r="BL106" s="190"/>
      <c r="BM106" s="190"/>
      <c r="BN106" s="190"/>
      <c r="BO106" s="190"/>
      <c r="BP106" s="141"/>
      <c r="BQ106" s="141"/>
      <c r="BR106" s="280"/>
      <c r="BS106" s="280"/>
      <c r="BT106" s="141"/>
      <c r="BU106" s="141"/>
      <c r="BV106" s="141"/>
      <c r="BW106" s="141"/>
      <c r="BX106" s="141"/>
      <c r="BY106" s="141"/>
      <c r="BZ106" s="141"/>
      <c r="CA106" s="141"/>
      <c r="CB106" s="141"/>
      <c r="CC106" s="280"/>
      <c r="CD106" s="141"/>
      <c r="CE106" s="141"/>
      <c r="CF106" s="141"/>
      <c r="CG106" s="141"/>
      <c r="CH106" s="141"/>
      <c r="CI106" s="141"/>
      <c r="CJ106" s="141"/>
      <c r="CK106" s="141"/>
      <c r="CL106" s="141"/>
      <c r="CM106" s="74"/>
      <c r="CR106" s="72"/>
    </row>
    <row r="107" spans="1:96" x14ac:dyDescent="0.25">
      <c r="L107" s="74"/>
      <c r="M107" s="74"/>
      <c r="N107" s="592"/>
      <c r="O107" s="593"/>
      <c r="P107" s="593"/>
      <c r="Q107" s="74"/>
      <c r="R107" s="74"/>
      <c r="S107" s="74"/>
      <c r="T107" s="74"/>
      <c r="U107" s="74"/>
      <c r="V107" s="593"/>
      <c r="W107" s="593"/>
      <c r="X107" s="74"/>
      <c r="Y107" s="74"/>
      <c r="Z107" s="280"/>
      <c r="AA107" s="74"/>
      <c r="AB107" s="74"/>
      <c r="AC107" s="74"/>
      <c r="AD107" s="74"/>
      <c r="AE107" s="74"/>
      <c r="AF107" s="74"/>
      <c r="AG107" s="74"/>
      <c r="AH107" s="74"/>
      <c r="AI107" s="74"/>
      <c r="AJ107" s="189"/>
      <c r="AK107" s="278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278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278"/>
      <c r="BH107" s="189"/>
      <c r="BI107" s="189"/>
      <c r="BJ107" s="189"/>
      <c r="BK107" s="189"/>
      <c r="BL107" s="189"/>
      <c r="BM107" s="189"/>
      <c r="BN107" s="189"/>
      <c r="BO107" s="189"/>
      <c r="BP107" s="74"/>
      <c r="BQ107" s="141"/>
      <c r="BR107" s="280"/>
      <c r="BS107" s="280">
        <f>36*4</f>
        <v>144</v>
      </c>
      <c r="BT107" s="74"/>
      <c r="BU107" s="74"/>
      <c r="BV107" s="74"/>
      <c r="BW107" s="74"/>
      <c r="BX107" s="74"/>
      <c r="BY107" s="74"/>
      <c r="BZ107" s="74"/>
      <c r="CA107" s="74"/>
      <c r="CB107" s="141"/>
      <c r="CC107" s="280"/>
      <c r="CD107" s="141"/>
      <c r="CE107" s="74"/>
      <c r="CF107" s="74"/>
      <c r="CG107" s="74"/>
      <c r="CH107" s="74"/>
      <c r="CI107" s="74"/>
      <c r="CJ107" s="74"/>
      <c r="CK107" s="74"/>
      <c r="CL107" s="74"/>
      <c r="CM107" s="74"/>
    </row>
    <row r="108" spans="1:96" x14ac:dyDescent="0.25">
      <c r="L108" s="74"/>
      <c r="M108" s="74"/>
      <c r="N108" s="592"/>
      <c r="O108" s="593"/>
      <c r="P108" s="593"/>
      <c r="Q108" s="74"/>
      <c r="R108" s="74"/>
      <c r="S108" s="74"/>
      <c r="T108" s="74"/>
      <c r="U108" s="74"/>
      <c r="V108" s="593"/>
      <c r="W108" s="593"/>
      <c r="X108" s="74"/>
      <c r="Y108" s="74"/>
      <c r="Z108" s="280"/>
      <c r="AA108" s="74"/>
      <c r="AB108" s="74"/>
      <c r="AC108" s="74"/>
      <c r="AD108" s="74"/>
      <c r="AE108" s="74"/>
      <c r="AF108" s="74"/>
      <c r="AG108" s="74"/>
      <c r="AH108" s="74"/>
      <c r="AI108" s="74"/>
      <c r="AJ108" s="189"/>
      <c r="AK108" s="278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278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278"/>
      <c r="BH108" s="189"/>
      <c r="BI108" s="189"/>
      <c r="BJ108" s="189"/>
      <c r="BK108" s="189"/>
      <c r="BL108" s="189"/>
      <c r="BM108" s="189"/>
      <c r="BN108" s="189"/>
      <c r="BO108" s="189"/>
      <c r="BP108" s="74"/>
      <c r="BQ108" s="141"/>
      <c r="BR108" s="280"/>
      <c r="BS108" s="280"/>
      <c r="BT108" s="74"/>
      <c r="BU108" s="74"/>
      <c r="BV108" s="74"/>
      <c r="BW108" s="74"/>
      <c r="BX108" s="74"/>
      <c r="BY108" s="74"/>
      <c r="BZ108" s="74"/>
      <c r="CA108" s="74"/>
      <c r="CB108" s="141"/>
      <c r="CC108" s="280"/>
      <c r="CD108" s="141"/>
      <c r="CE108" s="74"/>
      <c r="CF108" s="74"/>
      <c r="CG108" s="74"/>
      <c r="CH108" s="74"/>
      <c r="CI108" s="74"/>
      <c r="CJ108" s="74"/>
      <c r="CK108" s="74"/>
      <c r="CL108" s="74"/>
      <c r="CM108" s="74"/>
    </row>
    <row r="109" spans="1:96" x14ac:dyDescent="0.25">
      <c r="L109" s="74"/>
      <c r="M109" s="74"/>
      <c r="N109" s="592"/>
      <c r="O109" s="593"/>
      <c r="P109" s="593"/>
      <c r="Q109" s="74"/>
      <c r="R109" s="74"/>
      <c r="S109" s="74"/>
      <c r="T109" s="74"/>
      <c r="U109" s="74"/>
      <c r="V109" s="593"/>
      <c r="W109" s="593"/>
      <c r="X109" s="74"/>
      <c r="Y109" s="74"/>
      <c r="Z109" s="280"/>
      <c r="AA109" s="74"/>
      <c r="AB109" s="74"/>
      <c r="AC109" s="74"/>
      <c r="AD109" s="74"/>
      <c r="AE109" s="74"/>
      <c r="AF109" s="74"/>
      <c r="AG109" s="74"/>
      <c r="AH109" s="74"/>
      <c r="AI109" s="74"/>
      <c r="AJ109" s="189"/>
      <c r="AK109" s="278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278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278"/>
      <c r="BH109" s="189"/>
      <c r="BI109" s="189"/>
      <c r="BJ109" s="189"/>
      <c r="BK109" s="189"/>
      <c r="BL109" s="189"/>
      <c r="BM109" s="189"/>
      <c r="BN109" s="189"/>
      <c r="BO109" s="189"/>
      <c r="BP109" s="74"/>
      <c r="BQ109" s="141"/>
      <c r="BR109" s="280"/>
      <c r="BS109" s="280"/>
      <c r="BT109" s="74"/>
      <c r="BU109" s="74"/>
      <c r="BV109" s="74"/>
      <c r="BW109" s="74"/>
      <c r="BX109" s="74"/>
      <c r="BY109" s="74"/>
      <c r="BZ109" s="74"/>
      <c r="CA109" s="74"/>
      <c r="CB109" s="141"/>
      <c r="CC109" s="280"/>
      <c r="CD109" s="141"/>
      <c r="CE109" s="74"/>
      <c r="CF109" s="74"/>
      <c r="CG109" s="74"/>
      <c r="CH109" s="74"/>
      <c r="CI109" s="74"/>
      <c r="CJ109" s="74"/>
      <c r="CK109" s="74"/>
      <c r="CL109" s="74"/>
      <c r="CM109" s="74"/>
    </row>
    <row r="110" spans="1:96" x14ac:dyDescent="0.25">
      <c r="X110" s="15"/>
      <c r="Y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H110" s="94"/>
      <c r="BI110" s="94"/>
      <c r="BJ110" s="94"/>
      <c r="BK110" s="94"/>
      <c r="BL110" s="94"/>
      <c r="BM110" s="94"/>
      <c r="BN110" s="94"/>
      <c r="BO110" s="94"/>
    </row>
    <row r="111" spans="1:96" x14ac:dyDescent="0.25">
      <c r="X111" s="15"/>
      <c r="Y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H111" s="94"/>
      <c r="BI111" s="94"/>
      <c r="BJ111" s="94"/>
      <c r="BK111" s="94"/>
      <c r="BL111" s="94"/>
      <c r="BM111" s="94"/>
      <c r="BN111" s="94"/>
      <c r="BO111" s="94"/>
    </row>
    <row r="112" spans="1:96" x14ac:dyDescent="0.25">
      <c r="P112" s="316"/>
      <c r="Q112" s="316"/>
      <c r="R112" s="447" t="s">
        <v>258</v>
      </c>
      <c r="S112" s="448"/>
      <c r="T112" s="447" t="s">
        <v>259</v>
      </c>
      <c r="U112" s="448"/>
      <c r="V112" s="447" t="s">
        <v>260</v>
      </c>
      <c r="W112" s="448"/>
    </row>
    <row r="113" spans="6:90" ht="20.100000000000001" customHeight="1" x14ac:dyDescent="0.25">
      <c r="G113" s="321"/>
      <c r="H113" s="36"/>
      <c r="I113" s="36"/>
      <c r="J113" s="36"/>
      <c r="K113" s="36"/>
      <c r="P113" s="316"/>
      <c r="Q113" s="35">
        <f>COUNTIF(AH6:AH100,"з")</f>
        <v>1</v>
      </c>
      <c r="R113" s="35">
        <f>COUNTIF(AS6:AS100,"з")</f>
        <v>2</v>
      </c>
      <c r="S113" s="35">
        <f>COUNTIF(BD6:BD100,"з")</f>
        <v>1</v>
      </c>
      <c r="T113" s="35">
        <f>COUNTIF(BO6:BO100,"з")</f>
        <v>1</v>
      </c>
      <c r="U113" s="35">
        <f>COUNTIF(BZ6:BZ100,"з")</f>
        <v>1</v>
      </c>
      <c r="V113" s="447">
        <f>COUNTIF(CK6:CK100,"з")</f>
        <v>1</v>
      </c>
      <c r="W113" s="448"/>
      <c r="BP113" s="15"/>
      <c r="BT113" s="15"/>
      <c r="BU113" s="15"/>
      <c r="BV113" s="15"/>
      <c r="BW113" s="15"/>
      <c r="BX113" s="15"/>
      <c r="BY113" s="15"/>
      <c r="BZ113" s="15"/>
      <c r="CA113" s="15"/>
      <c r="CE113" s="15"/>
      <c r="CF113" s="15"/>
      <c r="CG113" s="15"/>
      <c r="CH113" s="15"/>
      <c r="CI113" s="15"/>
      <c r="CJ113" s="15"/>
      <c r="CK113" s="15"/>
      <c r="CL113" s="15"/>
    </row>
    <row r="114" spans="6:90" x14ac:dyDescent="0.25">
      <c r="G114" s="321"/>
      <c r="P114" s="316"/>
      <c r="Q114" s="35">
        <f>COUNTIF(AH7:AH101,"дз")</f>
        <v>8</v>
      </c>
      <c r="R114" s="35">
        <f>COUNTIF(AS7:AS101,"дз")</f>
        <v>2</v>
      </c>
      <c r="S114" s="35">
        <f>COUNTIF(BD7:BD101,"дз")</f>
        <v>7</v>
      </c>
      <c r="T114" s="35">
        <f>COUNTIF(BO7:BO101,"дз")</f>
        <v>2</v>
      </c>
      <c r="U114" s="35">
        <f>COUNTIF(BZ7:BZ101,"дз")</f>
        <v>5</v>
      </c>
      <c r="V114" s="447">
        <f>COUNTIF(CK7:CK101,"дз")</f>
        <v>9</v>
      </c>
      <c r="W114" s="448"/>
      <c r="BP114" s="15"/>
      <c r="BT114" s="15"/>
      <c r="BU114" s="15"/>
      <c r="BV114" s="15"/>
      <c r="BW114" s="15"/>
      <c r="BX114" s="15"/>
      <c r="BY114" s="15"/>
      <c r="BZ114" s="15"/>
      <c r="CA114" s="15"/>
      <c r="CE114" s="15"/>
      <c r="CF114" s="15"/>
      <c r="CG114" s="15"/>
      <c r="CH114" s="15"/>
      <c r="CI114" s="15"/>
      <c r="CJ114" s="15"/>
      <c r="CK114" s="15"/>
      <c r="CL114" s="15"/>
    </row>
    <row r="115" spans="6:90" x14ac:dyDescent="0.25">
      <c r="F115" s="15"/>
      <c r="P115" s="316"/>
      <c r="Q115" s="35">
        <f>COUNTIF(AH8:AH102,"э")</f>
        <v>3</v>
      </c>
      <c r="R115" s="35">
        <f>COUNTIF(AS8:AS102,"э")</f>
        <v>3</v>
      </c>
      <c r="S115" s="35">
        <f>COUNTIF(BD8:BD102,"э")</f>
        <v>3</v>
      </c>
      <c r="T115" s="35">
        <f>COUNTIF(BO8:BO102,"э")</f>
        <v>3</v>
      </c>
      <c r="U115" s="38">
        <f>COUNTIF(BZ8:BZ102,"э")-1</f>
        <v>2</v>
      </c>
      <c r="V115" s="447">
        <f>COUNTIF(CK8:CK102,"э")</f>
        <v>3</v>
      </c>
      <c r="W115" s="448"/>
    </row>
    <row r="116" spans="6:90" x14ac:dyDescent="0.25">
      <c r="P116" s="316"/>
      <c r="Q116" s="35">
        <f>COUNTIF(AH9:AH103,"кэ")</f>
        <v>0</v>
      </c>
      <c r="R116" s="35">
        <f>COUNTIF(AS9:AS103,"кэ")</f>
        <v>0</v>
      </c>
      <c r="S116" s="35">
        <f>COUNTIF(BD9:BD103,"кэ")</f>
        <v>1</v>
      </c>
      <c r="T116" s="35">
        <f>COUNTIF(BO9:BO103,"кэ")</f>
        <v>1</v>
      </c>
      <c r="U116" s="35">
        <f>COUNTIF(BZ9:BZ103,"кэ")</f>
        <v>2</v>
      </c>
      <c r="V116" s="447">
        <f>COUNTIF(CK9:CK103,"кэ")</f>
        <v>3</v>
      </c>
      <c r="W116" s="448"/>
    </row>
    <row r="117" spans="6:90" x14ac:dyDescent="0.25">
      <c r="P117" s="316"/>
      <c r="Q117" s="35">
        <f>COUNTIF(AH10:AH104,"дэ")</f>
        <v>0</v>
      </c>
      <c r="R117" s="35">
        <f>COUNTIF(AS10:AS104,"дэ")</f>
        <v>0</v>
      </c>
      <c r="S117" s="35">
        <f>COUNTIF(BD10:BD104,"дэ")</f>
        <v>1</v>
      </c>
      <c r="T117" s="35">
        <f>COUNTIF(BO10:BO104,"дэ")</f>
        <v>0</v>
      </c>
      <c r="U117" s="35">
        <f>COUNTIF(BZ10:BZ104,"дэ")</f>
        <v>0</v>
      </c>
      <c r="V117" s="447">
        <f>COUNTIF(CK10:CK104,"дэ")</f>
        <v>0</v>
      </c>
      <c r="W117" s="448"/>
    </row>
    <row r="118" spans="6:90" x14ac:dyDescent="0.25">
      <c r="P118" s="313"/>
      <c r="Q118" s="196">
        <f t="shared" ref="Q118:U118" si="250">Q114+Q115</f>
        <v>11</v>
      </c>
      <c r="R118" s="196">
        <f t="shared" si="250"/>
        <v>5</v>
      </c>
      <c r="S118" s="196">
        <f t="shared" si="250"/>
        <v>10</v>
      </c>
      <c r="T118" s="196">
        <f t="shared" si="250"/>
        <v>5</v>
      </c>
      <c r="U118" s="196">
        <f t="shared" si="250"/>
        <v>7</v>
      </c>
      <c r="V118" s="445">
        <f>V114+V115</f>
        <v>12</v>
      </c>
      <c r="W118" s="446"/>
    </row>
    <row r="119" spans="6:90" x14ac:dyDescent="0.25">
      <c r="F119" s="15"/>
    </row>
    <row r="121" spans="6:90" x14ac:dyDescent="0.25">
      <c r="P121" s="196"/>
      <c r="Q121" s="312"/>
      <c r="R121" s="445">
        <f>R115+S115+S116</f>
        <v>7</v>
      </c>
      <c r="S121" s="446"/>
      <c r="T121" s="445">
        <f>T115+U115+U116</f>
        <v>7</v>
      </c>
      <c r="U121" s="446"/>
      <c r="V121" s="445">
        <f>V116+V115</f>
        <v>6</v>
      </c>
      <c r="W121" s="446"/>
    </row>
    <row r="122" spans="6:90" x14ac:dyDescent="0.25">
      <c r="P122" s="196"/>
      <c r="Q122" s="312"/>
      <c r="R122" s="445">
        <f>R114+S114</f>
        <v>9</v>
      </c>
      <c r="S122" s="446"/>
      <c r="T122" s="445">
        <f>T114+U114</f>
        <v>7</v>
      </c>
      <c r="U122" s="446"/>
      <c r="V122" s="445">
        <f>V114</f>
        <v>9</v>
      </c>
      <c r="W122" s="446"/>
    </row>
  </sheetData>
  <mergeCells count="72">
    <mergeCell ref="C76:C77"/>
    <mergeCell ref="A1:A5"/>
    <mergeCell ref="B1:B5"/>
    <mergeCell ref="C1:C5"/>
    <mergeCell ref="D1:D5"/>
    <mergeCell ref="E1:CK1"/>
    <mergeCell ref="E2:E5"/>
    <mergeCell ref="F2:L2"/>
    <mergeCell ref="N2:CK2"/>
    <mergeCell ref="F3:F5"/>
    <mergeCell ref="N3:AH3"/>
    <mergeCell ref="AJ3:BD3"/>
    <mergeCell ref="BF3:BY3"/>
    <mergeCell ref="CB3:CK3"/>
    <mergeCell ref="G3:J3"/>
    <mergeCell ref="CN4:CQ4"/>
    <mergeCell ref="C41:C42"/>
    <mergeCell ref="AS41:AS42"/>
    <mergeCell ref="L4:L5"/>
    <mergeCell ref="N4:W4"/>
    <mergeCell ref="Y4:AH4"/>
    <mergeCell ref="AJ4:AS4"/>
    <mergeCell ref="AU4:BD4"/>
    <mergeCell ref="BF4:BO4"/>
    <mergeCell ref="G4:G5"/>
    <mergeCell ref="H4:H5"/>
    <mergeCell ref="I4:I5"/>
    <mergeCell ref="J4:J5"/>
    <mergeCell ref="K4:K5"/>
    <mergeCell ref="BO76:BO77"/>
    <mergeCell ref="BZ76:BZ77"/>
    <mergeCell ref="BQ4:BZ4"/>
    <mergeCell ref="CB4:CK4"/>
    <mergeCell ref="CM4:CM5"/>
    <mergeCell ref="C59:C60"/>
    <mergeCell ref="BD59:BD60"/>
    <mergeCell ref="C73:C74"/>
    <mergeCell ref="BZ73:BZ74"/>
    <mergeCell ref="CK74:CK75"/>
    <mergeCell ref="O108:P108"/>
    <mergeCell ref="V108:W108"/>
    <mergeCell ref="C83:C84"/>
    <mergeCell ref="BZ83:BZ84"/>
    <mergeCell ref="CK92:CK93"/>
    <mergeCell ref="N104:N109"/>
    <mergeCell ref="O104:P104"/>
    <mergeCell ref="R104:S104"/>
    <mergeCell ref="T104:U104"/>
    <mergeCell ref="V104:W104"/>
    <mergeCell ref="O105:P105"/>
    <mergeCell ref="V105:W105"/>
    <mergeCell ref="O106:P106"/>
    <mergeCell ref="V106:W106"/>
    <mergeCell ref="O107:P107"/>
    <mergeCell ref="V107:W107"/>
    <mergeCell ref="O109:P109"/>
    <mergeCell ref="V109:W109"/>
    <mergeCell ref="R112:S112"/>
    <mergeCell ref="T112:U112"/>
    <mergeCell ref="V112:W112"/>
    <mergeCell ref="V116:W116"/>
    <mergeCell ref="V117:W117"/>
    <mergeCell ref="V118:W118"/>
    <mergeCell ref="V113:W113"/>
    <mergeCell ref="V114:W114"/>
    <mergeCell ref="V115:W115"/>
    <mergeCell ref="R121:S121"/>
    <mergeCell ref="T121:U121"/>
    <mergeCell ref="V121:W121"/>
    <mergeCell ref="R122:S122"/>
    <mergeCell ref="T122:U122"/>
    <mergeCell ref="V122:W122"/>
  </mergeCells>
  <pageMargins left="0.7" right="0.7" top="0.75" bottom="0.75" header="0.3" footer="0.3"/>
  <pageSetup paperSize="9" scale="52" orientation="landscape" verticalDpi="300" r:id="rId1"/>
  <rowBreaks count="4" manualBreakCount="4">
    <brk id="24" max="111" man="1"/>
    <brk id="53" max="111" man="1"/>
    <brk id="70" max="111" man="1"/>
    <brk id="89" max="111" man="1"/>
  </rowBreaks>
  <colBreaks count="2" manualBreakCount="2">
    <brk id="12" max="124" man="1"/>
    <brk id="57" max="1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0"/>
  <sheetViews>
    <sheetView showZeros="0" view="pageLayout" topLeftCell="A48" zoomScale="60" zoomScaleNormal="100" zoomScaleSheetLayoutView="100" zoomScalePageLayoutView="60" workbookViewId="0">
      <selection activeCell="L87" sqref="L87"/>
    </sheetView>
  </sheetViews>
  <sheetFormatPr defaultRowHeight="15.75" x14ac:dyDescent="0.25"/>
  <cols>
    <col min="1" max="1" width="7.75" style="309" customWidth="1"/>
    <col min="2" max="2" width="30.625" style="309" customWidth="1"/>
    <col min="3" max="3" width="9.125" style="336" customWidth="1"/>
    <col min="4" max="4" width="5.875" style="336" customWidth="1"/>
    <col min="5" max="5" width="5.125" style="336" customWidth="1"/>
    <col min="6" max="6" width="6.125" style="336" customWidth="1"/>
    <col min="7" max="7" width="5.625" style="336" customWidth="1"/>
    <col min="8" max="8" width="5.5" style="336" customWidth="1"/>
    <col min="9" max="9" width="5.25" style="336" customWidth="1"/>
    <col min="10" max="10" width="4.75" style="336" customWidth="1"/>
    <col min="11" max="11" width="5.5" style="336" customWidth="1"/>
    <col min="12" max="12" width="5.625" style="336" customWidth="1"/>
    <col min="13" max="13" width="6.375" style="336" customWidth="1"/>
    <col min="14" max="14" width="6.75" style="336" customWidth="1"/>
    <col min="15" max="15" width="5.75" style="336" customWidth="1"/>
    <col min="16" max="16" width="6.375" style="336" customWidth="1"/>
    <col min="17" max="17" width="6.5" style="336" customWidth="1"/>
    <col min="18" max="18" width="6.125" style="340" customWidth="1"/>
    <col min="19" max="19" width="7.375" style="340" customWidth="1"/>
    <col min="20" max="16384" width="9" style="309"/>
  </cols>
  <sheetData>
    <row r="1" spans="1:20" ht="16.5" thickBot="1" x14ac:dyDescent="0.3">
      <c r="A1" s="512" t="s">
        <v>340</v>
      </c>
      <c r="B1" s="512"/>
      <c r="C1" s="513"/>
      <c r="D1" s="512"/>
      <c r="E1" s="512"/>
      <c r="F1" s="512"/>
      <c r="G1" s="512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32"/>
      <c r="S1" s="332"/>
    </row>
    <row r="2" spans="1:20" ht="23.25" customHeight="1" x14ac:dyDescent="0.25">
      <c r="A2" s="514" t="s">
        <v>34</v>
      </c>
      <c r="B2" s="516" t="s">
        <v>341</v>
      </c>
      <c r="C2" s="518" t="s">
        <v>359</v>
      </c>
      <c r="D2" s="521" t="s">
        <v>342</v>
      </c>
      <c r="E2" s="523" t="s">
        <v>343</v>
      </c>
      <c r="F2" s="524"/>
      <c r="G2" s="524"/>
      <c r="H2" s="524"/>
      <c r="I2" s="524"/>
      <c r="J2" s="524"/>
      <c r="K2" s="524"/>
      <c r="L2" s="525"/>
      <c r="M2" s="530" t="s">
        <v>344</v>
      </c>
      <c r="N2" s="531"/>
      <c r="O2" s="531"/>
      <c r="P2" s="531"/>
      <c r="Q2" s="531"/>
      <c r="R2" s="532"/>
      <c r="S2" s="533"/>
    </row>
    <row r="3" spans="1:20" x14ac:dyDescent="0.25">
      <c r="A3" s="514"/>
      <c r="B3" s="516"/>
      <c r="C3" s="519"/>
      <c r="D3" s="521"/>
      <c r="E3" s="528" t="s">
        <v>345</v>
      </c>
      <c r="F3" s="524" t="s">
        <v>346</v>
      </c>
      <c r="G3" s="524"/>
      <c r="H3" s="524"/>
      <c r="I3" s="524"/>
      <c r="J3" s="524"/>
      <c r="K3" s="524"/>
      <c r="L3" s="525"/>
      <c r="M3" s="534" t="s">
        <v>42</v>
      </c>
      <c r="N3" s="538"/>
      <c r="O3" s="534" t="s">
        <v>43</v>
      </c>
      <c r="P3" s="538"/>
      <c r="Q3" s="534" t="s">
        <v>44</v>
      </c>
      <c r="R3" s="535"/>
      <c r="S3" s="345" t="s">
        <v>45</v>
      </c>
    </row>
    <row r="4" spans="1:20" ht="22.5" customHeight="1" x14ac:dyDescent="0.25">
      <c r="A4" s="514"/>
      <c r="B4" s="516"/>
      <c r="C4" s="519"/>
      <c r="D4" s="521"/>
      <c r="E4" s="528"/>
      <c r="F4" s="539" t="s">
        <v>347</v>
      </c>
      <c r="G4" s="539"/>
      <c r="H4" s="539"/>
      <c r="I4" s="539"/>
      <c r="J4" s="526" t="s">
        <v>348</v>
      </c>
      <c r="K4" s="526" t="s">
        <v>285</v>
      </c>
      <c r="L4" s="540" t="s">
        <v>193</v>
      </c>
      <c r="M4" s="353">
        <v>1</v>
      </c>
      <c r="N4" s="355">
        <v>2</v>
      </c>
      <c r="O4" s="352">
        <v>3</v>
      </c>
      <c r="P4" s="354">
        <v>4</v>
      </c>
      <c r="Q4" s="352">
        <v>5</v>
      </c>
      <c r="R4" s="349">
        <v>6</v>
      </c>
      <c r="S4" s="346">
        <v>7</v>
      </c>
      <c r="T4" s="309" t="s">
        <v>225</v>
      </c>
    </row>
    <row r="5" spans="1:20" ht="27" customHeight="1" x14ac:dyDescent="0.25">
      <c r="A5" s="514"/>
      <c r="B5" s="516"/>
      <c r="C5" s="519"/>
      <c r="D5" s="521"/>
      <c r="E5" s="528"/>
      <c r="F5" s="526" t="s">
        <v>349</v>
      </c>
      <c r="G5" s="537" t="s">
        <v>350</v>
      </c>
      <c r="H5" s="537"/>
      <c r="I5" s="537"/>
      <c r="J5" s="526"/>
      <c r="K5" s="526"/>
      <c r="L5" s="540"/>
      <c r="M5" s="353">
        <v>17</v>
      </c>
      <c r="N5" s="355">
        <v>22</v>
      </c>
      <c r="O5" s="353">
        <v>15</v>
      </c>
      <c r="P5" s="355">
        <v>20</v>
      </c>
      <c r="Q5" s="353">
        <v>12</v>
      </c>
      <c r="R5" s="349">
        <v>17</v>
      </c>
      <c r="S5" s="346">
        <v>20</v>
      </c>
      <c r="T5" s="309" t="s">
        <v>362</v>
      </c>
    </row>
    <row r="6" spans="1:20" ht="14.25" customHeight="1" x14ac:dyDescent="0.25">
      <c r="A6" s="514"/>
      <c r="B6" s="516"/>
      <c r="C6" s="519"/>
      <c r="D6" s="521"/>
      <c r="E6" s="528"/>
      <c r="F6" s="526"/>
      <c r="G6" s="526" t="s">
        <v>194</v>
      </c>
      <c r="H6" s="526" t="s">
        <v>351</v>
      </c>
      <c r="I6" s="526" t="s">
        <v>352</v>
      </c>
      <c r="J6" s="526"/>
      <c r="K6" s="526"/>
      <c r="L6" s="540"/>
      <c r="M6" s="353"/>
      <c r="N6" s="355"/>
      <c r="O6" s="352" t="s">
        <v>356</v>
      </c>
      <c r="P6" s="354" t="s">
        <v>358</v>
      </c>
      <c r="Q6" s="352" t="s">
        <v>357</v>
      </c>
      <c r="R6" s="349" t="s">
        <v>353</v>
      </c>
      <c r="S6" s="346" t="s">
        <v>358</v>
      </c>
    </row>
    <row r="7" spans="1:20" ht="18" customHeight="1" x14ac:dyDescent="0.25">
      <c r="A7" s="514"/>
      <c r="B7" s="516"/>
      <c r="C7" s="519"/>
      <c r="D7" s="521"/>
      <c r="E7" s="528"/>
      <c r="F7" s="526"/>
      <c r="G7" s="526"/>
      <c r="H7" s="526"/>
      <c r="I7" s="526"/>
      <c r="J7" s="526"/>
      <c r="K7" s="526"/>
      <c r="L7" s="540"/>
      <c r="M7" s="353"/>
      <c r="N7" s="355"/>
      <c r="O7" s="352"/>
      <c r="P7" s="354"/>
      <c r="Q7" s="352"/>
      <c r="R7" s="349"/>
      <c r="S7" s="346" t="s">
        <v>364</v>
      </c>
    </row>
    <row r="8" spans="1:20" ht="42.75" customHeight="1" thickBot="1" x14ac:dyDescent="0.3">
      <c r="A8" s="515"/>
      <c r="B8" s="517"/>
      <c r="C8" s="520"/>
      <c r="D8" s="522"/>
      <c r="E8" s="529"/>
      <c r="F8" s="527"/>
      <c r="G8" s="536"/>
      <c r="H8" s="536"/>
      <c r="I8" s="536"/>
      <c r="J8" s="527"/>
      <c r="K8" s="527"/>
      <c r="L8" s="541"/>
      <c r="M8" s="362"/>
      <c r="N8" s="363" t="s">
        <v>355</v>
      </c>
      <c r="O8" s="364" t="s">
        <v>354</v>
      </c>
      <c r="P8" s="363" t="s">
        <v>354</v>
      </c>
      <c r="Q8" s="364" t="s">
        <v>354</v>
      </c>
      <c r="R8" s="365" t="s">
        <v>354</v>
      </c>
      <c r="S8" s="366" t="s">
        <v>365</v>
      </c>
      <c r="T8" s="309" t="s">
        <v>363</v>
      </c>
    </row>
    <row r="9" spans="1:20" s="328" customFormat="1" ht="24" customHeight="1" x14ac:dyDescent="0.25">
      <c r="A9" s="375" t="str">
        <f>'!план для правки'!A6</f>
        <v>О.00</v>
      </c>
      <c r="B9" s="372" t="str">
        <f>'!план для правки'!B6</f>
        <v>Общеобразовательный цикл</v>
      </c>
      <c r="C9" s="370"/>
      <c r="D9" s="357">
        <f>'!план для правки'!D6</f>
        <v>1476</v>
      </c>
      <c r="E9" s="367">
        <f>'!план для правки'!E6</f>
        <v>0</v>
      </c>
      <c r="F9" s="359">
        <f>'!план для правки'!F6</f>
        <v>1404</v>
      </c>
      <c r="G9" s="359">
        <f>'!план для правки'!G6</f>
        <v>1237</v>
      </c>
      <c r="H9" s="359">
        <f>'!план для правки'!I6</f>
        <v>167</v>
      </c>
      <c r="I9" s="359">
        <f>'!план для правки'!J6</f>
        <v>0</v>
      </c>
      <c r="J9" s="360"/>
      <c r="K9" s="359">
        <f>'!план для правки'!K6</f>
        <v>36</v>
      </c>
      <c r="L9" s="361">
        <f>'!план для правки'!L6</f>
        <v>36</v>
      </c>
      <c r="M9" s="356">
        <f>'!план для правки'!N6</f>
        <v>612</v>
      </c>
      <c r="N9" s="357">
        <f>'!план для правки'!Y6</f>
        <v>864</v>
      </c>
      <c r="O9" s="356">
        <f>'!план для правки'!AJ6</f>
        <v>0</v>
      </c>
      <c r="P9" s="357">
        <f>'!план для правки'!AU6</f>
        <v>0</v>
      </c>
      <c r="Q9" s="356">
        <f>'!план для правки'!BF6</f>
        <v>0</v>
      </c>
      <c r="R9" s="357">
        <f>'!план для правки'!BQ6</f>
        <v>0</v>
      </c>
      <c r="S9" s="356">
        <f>'!план для правки'!CB6</f>
        <v>0</v>
      </c>
    </row>
    <row r="10" spans="1:20" s="328" customFormat="1" ht="18" customHeight="1" x14ac:dyDescent="0.25">
      <c r="A10" s="376" t="str">
        <f>'!план для правки'!A7</f>
        <v>ОДБ.00</v>
      </c>
      <c r="B10" s="373" t="str">
        <f>'!план для правки'!B7</f>
        <v>Общие базовые</v>
      </c>
      <c r="C10" s="347"/>
      <c r="D10" s="350">
        <f>'!план для правки'!D7</f>
        <v>0</v>
      </c>
      <c r="E10" s="341">
        <f>'!план для правки'!E7</f>
        <v>0</v>
      </c>
      <c r="F10" s="331">
        <f>'!план для правки'!F7</f>
        <v>0</v>
      </c>
      <c r="G10" s="331">
        <f>'!план для правки'!G7</f>
        <v>0</v>
      </c>
      <c r="H10" s="331">
        <f>'!план для правки'!I7</f>
        <v>0</v>
      </c>
      <c r="I10" s="331">
        <f>'!план для правки'!J7</f>
        <v>0</v>
      </c>
      <c r="J10" s="337"/>
      <c r="K10" s="331">
        <f>'!план для правки'!K7</f>
        <v>0</v>
      </c>
      <c r="L10" s="343">
        <f>'!план для правки'!L7</f>
        <v>0</v>
      </c>
      <c r="M10" s="347">
        <f>'!план для правки'!N7</f>
        <v>367</v>
      </c>
      <c r="N10" s="350">
        <f>'!план для правки'!Y7</f>
        <v>567</v>
      </c>
      <c r="O10" s="347">
        <f>'!план для правки'!AJ7</f>
        <v>0</v>
      </c>
      <c r="P10" s="350">
        <f>'!план для правки'!AU7</f>
        <v>0</v>
      </c>
      <c r="Q10" s="347">
        <f>'!план для правки'!BF7</f>
        <v>0</v>
      </c>
      <c r="R10" s="350">
        <f>'!план для правки'!BQ7</f>
        <v>0</v>
      </c>
      <c r="S10" s="347">
        <f>'!план для правки'!CB7</f>
        <v>0</v>
      </c>
    </row>
    <row r="11" spans="1:20" ht="21" customHeight="1" x14ac:dyDescent="0.25">
      <c r="A11" s="377" t="str">
        <f>'!план для правки'!A8</f>
        <v>ОДБ.01</v>
      </c>
      <c r="B11" s="374" t="str">
        <f>'!план для правки'!B8</f>
        <v>Русский язык</v>
      </c>
      <c r="C11" s="348" t="str">
        <f>'!план для правки'!C8</f>
        <v>~,э</v>
      </c>
      <c r="D11" s="351">
        <f>'!план для правки'!D8</f>
        <v>102</v>
      </c>
      <c r="E11" s="342">
        <f>'!план для правки'!E8</f>
        <v>0</v>
      </c>
      <c r="F11" s="332">
        <f>'!план для правки'!F8</f>
        <v>78</v>
      </c>
      <c r="G11" s="332">
        <f>'!план для правки'!G8</f>
        <v>78</v>
      </c>
      <c r="H11" s="332">
        <f>'!план для правки'!I8</f>
        <v>0</v>
      </c>
      <c r="I11" s="332">
        <f>'!план для правки'!J8</f>
        <v>0</v>
      </c>
      <c r="J11" s="329"/>
      <c r="K11" s="332">
        <f>'!план для правки'!K8</f>
        <v>12</v>
      </c>
      <c r="L11" s="344">
        <f>'!план для правки'!L8</f>
        <v>12</v>
      </c>
      <c r="M11" s="348">
        <f>'!план для правки'!N8</f>
        <v>34</v>
      </c>
      <c r="N11" s="351">
        <f>'!план для правки'!Y8</f>
        <v>68</v>
      </c>
      <c r="O11" s="348">
        <f>'!план для правки'!AJ8</f>
        <v>0</v>
      </c>
      <c r="P11" s="351">
        <f>'!план для правки'!AU8</f>
        <v>0</v>
      </c>
      <c r="Q11" s="348">
        <f>'!план для правки'!BF8</f>
        <v>0</v>
      </c>
      <c r="R11" s="351">
        <f>'!план для правки'!BQ8</f>
        <v>0</v>
      </c>
      <c r="S11" s="348">
        <f>'!план для правки'!CB8</f>
        <v>0</v>
      </c>
    </row>
    <row r="12" spans="1:20" x14ac:dyDescent="0.25">
      <c r="A12" s="377" t="str">
        <f>'!план для правки'!A9</f>
        <v>ОДБ.02</v>
      </c>
      <c r="B12" s="374" t="str">
        <f>'!план для правки'!B9</f>
        <v>Литература</v>
      </c>
      <c r="C12" s="348" t="str">
        <f>'!план для правки'!C9</f>
        <v>~,дз</v>
      </c>
      <c r="D12" s="351">
        <f>'!план для правки'!D9</f>
        <v>117</v>
      </c>
      <c r="E12" s="342">
        <f>'!план для правки'!E9</f>
        <v>0</v>
      </c>
      <c r="F12" s="332">
        <f>'!план для правки'!F9</f>
        <v>117</v>
      </c>
      <c r="G12" s="332">
        <f>'!план для правки'!G9</f>
        <v>117</v>
      </c>
      <c r="H12" s="332">
        <f>'!план для правки'!I9</f>
        <v>0</v>
      </c>
      <c r="I12" s="332">
        <f>'!план для правки'!J9</f>
        <v>0</v>
      </c>
      <c r="J12" s="329"/>
      <c r="K12" s="332">
        <f>'!план для правки'!K9</f>
        <v>0</v>
      </c>
      <c r="L12" s="344">
        <f>'!план для правки'!L9</f>
        <v>0</v>
      </c>
      <c r="M12" s="348">
        <f>'!план для правки'!N9</f>
        <v>48</v>
      </c>
      <c r="N12" s="351">
        <f>'!план для правки'!Y9</f>
        <v>69</v>
      </c>
      <c r="O12" s="348">
        <f>'!план для правки'!AJ9</f>
        <v>0</v>
      </c>
      <c r="P12" s="351">
        <f>'!план для правки'!AU9</f>
        <v>0</v>
      </c>
      <c r="Q12" s="348">
        <f>'!план для правки'!BF9</f>
        <v>0</v>
      </c>
      <c r="R12" s="351">
        <f>'!план для правки'!BQ9</f>
        <v>0</v>
      </c>
      <c r="S12" s="348">
        <f>'!план для правки'!CB9</f>
        <v>0</v>
      </c>
    </row>
    <row r="13" spans="1:20" x14ac:dyDescent="0.25">
      <c r="A13" s="377" t="str">
        <f>'!план для правки'!A10</f>
        <v>ОДБ.03</v>
      </c>
      <c r="B13" s="374" t="str">
        <f>'!план для правки'!B10</f>
        <v>Иностранный язык</v>
      </c>
      <c r="C13" s="348" t="str">
        <f>'!план для правки'!C10</f>
        <v>~,дз</v>
      </c>
      <c r="D13" s="351">
        <f>'!план для правки'!D10</f>
        <v>117</v>
      </c>
      <c r="E13" s="342">
        <f>'!план для правки'!E10</f>
        <v>0</v>
      </c>
      <c r="F13" s="332">
        <f>'!план для правки'!F10</f>
        <v>117</v>
      </c>
      <c r="G13" s="332">
        <f>'!план для правки'!G10</f>
        <v>58</v>
      </c>
      <c r="H13" s="332">
        <f>'!план для правки'!I10</f>
        <v>59</v>
      </c>
      <c r="I13" s="332">
        <f>'!план для правки'!J10</f>
        <v>0</v>
      </c>
      <c r="J13" s="329"/>
      <c r="K13" s="332">
        <f>'!план для правки'!K10</f>
        <v>0</v>
      </c>
      <c r="L13" s="344">
        <f>'!план для правки'!L10</f>
        <v>0</v>
      </c>
      <c r="M13" s="348">
        <f>'!план для правки'!N10</f>
        <v>51</v>
      </c>
      <c r="N13" s="351">
        <f>'!план для правки'!Y10</f>
        <v>66</v>
      </c>
      <c r="O13" s="348">
        <f>'!план для правки'!AJ10</f>
        <v>0</v>
      </c>
      <c r="P13" s="351">
        <f>'!план для правки'!AU10</f>
        <v>0</v>
      </c>
      <c r="Q13" s="348">
        <f>'!план для правки'!BF10</f>
        <v>0</v>
      </c>
      <c r="R13" s="351">
        <f>'!план для правки'!BQ10</f>
        <v>0</v>
      </c>
      <c r="S13" s="348">
        <f>'!план для правки'!CB10</f>
        <v>0</v>
      </c>
    </row>
    <row r="14" spans="1:20" x14ac:dyDescent="0.25">
      <c r="A14" s="377" t="str">
        <f>'!план для правки'!A11</f>
        <v>ОДБ.04</v>
      </c>
      <c r="B14" s="374" t="str">
        <f>'!план для правки'!B11</f>
        <v>История</v>
      </c>
      <c r="C14" s="348" t="str">
        <f>'!план для правки'!C11</f>
        <v>~,дз</v>
      </c>
      <c r="D14" s="351">
        <f>'!план для правки'!D11</f>
        <v>117</v>
      </c>
      <c r="E14" s="342">
        <f>'!план для правки'!E11</f>
        <v>0</v>
      </c>
      <c r="F14" s="332">
        <f>'!план для правки'!F11</f>
        <v>117</v>
      </c>
      <c r="G14" s="332">
        <f>'!план для правки'!G11</f>
        <v>117</v>
      </c>
      <c r="H14" s="332">
        <f>'!план для правки'!I11</f>
        <v>0</v>
      </c>
      <c r="I14" s="332">
        <f>'!план для правки'!J11</f>
        <v>0</v>
      </c>
      <c r="J14" s="329"/>
      <c r="K14" s="332">
        <f>'!план для правки'!K11</f>
        <v>0</v>
      </c>
      <c r="L14" s="344">
        <f>'!план для правки'!L11</f>
        <v>0</v>
      </c>
      <c r="M14" s="348">
        <f>'!план для правки'!N11</f>
        <v>51</v>
      </c>
      <c r="N14" s="351">
        <f>'!план для правки'!Y11</f>
        <v>66</v>
      </c>
      <c r="O14" s="348">
        <f>'!план для правки'!AJ11</f>
        <v>0</v>
      </c>
      <c r="P14" s="351">
        <f>'!план для правки'!AU11</f>
        <v>0</v>
      </c>
      <c r="Q14" s="348">
        <f>'!план для правки'!BF11</f>
        <v>0</v>
      </c>
      <c r="R14" s="351">
        <f>'!план для правки'!BQ11</f>
        <v>0</v>
      </c>
      <c r="S14" s="348">
        <f>'!план для правки'!CB11</f>
        <v>0</v>
      </c>
    </row>
    <row r="15" spans="1:20" x14ac:dyDescent="0.25">
      <c r="A15" s="377" t="str">
        <f>'!план для правки'!A12</f>
        <v>ОГСЭ.В.08</v>
      </c>
      <c r="B15" s="374" t="str">
        <f>'!план для правки'!B12</f>
        <v>Астрономия</v>
      </c>
      <c r="C15" s="348" t="str">
        <f>'!план для правки'!C12</f>
        <v>дз</v>
      </c>
      <c r="D15" s="351">
        <f>'!план для правки'!D12</f>
        <v>36</v>
      </c>
      <c r="E15" s="342">
        <f>'!план для правки'!E12</f>
        <v>0</v>
      </c>
      <c r="F15" s="332">
        <f>'!план для правки'!F12</f>
        <v>36</v>
      </c>
      <c r="G15" s="332">
        <f>'!план для правки'!G12</f>
        <v>36</v>
      </c>
      <c r="H15" s="332">
        <f>'!план для правки'!I12</f>
        <v>0</v>
      </c>
      <c r="I15" s="332">
        <f>'!план для правки'!J12</f>
        <v>0</v>
      </c>
      <c r="J15" s="329"/>
      <c r="K15" s="332">
        <f>'!план для правки'!K12</f>
        <v>0</v>
      </c>
      <c r="L15" s="344">
        <f>'!план для правки'!L12</f>
        <v>0</v>
      </c>
      <c r="M15" s="348">
        <f>'!план для правки'!N12</f>
        <v>0</v>
      </c>
      <c r="N15" s="351">
        <f>'!план для правки'!Y12</f>
        <v>36</v>
      </c>
      <c r="O15" s="348">
        <f>'!план для правки'!AJ12</f>
        <v>0</v>
      </c>
      <c r="P15" s="351">
        <f>'!план для правки'!AU12</f>
        <v>0</v>
      </c>
      <c r="Q15" s="348">
        <f>'!план для правки'!BF12</f>
        <v>0</v>
      </c>
      <c r="R15" s="351">
        <f>'!план для правки'!BQ12</f>
        <v>0</v>
      </c>
      <c r="S15" s="348">
        <f>'!план для правки'!CB12</f>
        <v>0</v>
      </c>
    </row>
    <row r="16" spans="1:20" x14ac:dyDescent="0.25">
      <c r="A16" s="377" t="str">
        <f>'!план для правки'!A13</f>
        <v>ОДБ.05</v>
      </c>
      <c r="B16" s="374" t="str">
        <f>'!план для правки'!B13</f>
        <v>Физическая культура</v>
      </c>
      <c r="C16" s="348" t="str">
        <f>'!план для правки'!C13</f>
        <v>~,дз</v>
      </c>
      <c r="D16" s="351">
        <f>'!план для правки'!D13</f>
        <v>117</v>
      </c>
      <c r="E16" s="342">
        <f>'!план для правки'!E13</f>
        <v>0</v>
      </c>
      <c r="F16" s="332">
        <f>'!план для правки'!F13</f>
        <v>117</v>
      </c>
      <c r="G16" s="332">
        <f>'!план для правки'!G13</f>
        <v>117</v>
      </c>
      <c r="H16" s="332">
        <f>'!план для правки'!I13</f>
        <v>0</v>
      </c>
      <c r="I16" s="332">
        <f>'!план для правки'!J13</f>
        <v>0</v>
      </c>
      <c r="J16" s="329"/>
      <c r="K16" s="332">
        <f>'!план для правки'!K13</f>
        <v>0</v>
      </c>
      <c r="L16" s="344">
        <f>'!план для правки'!L13</f>
        <v>0</v>
      </c>
      <c r="M16" s="348">
        <f>'!план для правки'!N13</f>
        <v>51</v>
      </c>
      <c r="N16" s="351">
        <f>'!план для правки'!Y13</f>
        <v>66</v>
      </c>
      <c r="O16" s="348">
        <f>'!план для правки'!AJ13</f>
        <v>0</v>
      </c>
      <c r="P16" s="351">
        <f>'!план для правки'!AU13</f>
        <v>0</v>
      </c>
      <c r="Q16" s="348">
        <f>'!план для правки'!BF13</f>
        <v>0</v>
      </c>
      <c r="R16" s="351">
        <f>'!план для правки'!BQ13</f>
        <v>0</v>
      </c>
      <c r="S16" s="348">
        <f>'!план для правки'!CB13</f>
        <v>0</v>
      </c>
    </row>
    <row r="17" spans="1:19" x14ac:dyDescent="0.25">
      <c r="A17" s="377" t="str">
        <f>'!план для правки'!A14</f>
        <v>ОДБ.06</v>
      </c>
      <c r="B17" s="374" t="str">
        <f>'!план для правки'!B14</f>
        <v>ОБЖ</v>
      </c>
      <c r="C17" s="348" t="str">
        <f>'!план для правки'!C14</f>
        <v>~,дз</v>
      </c>
      <c r="D17" s="351">
        <f>'!план для правки'!D14</f>
        <v>70</v>
      </c>
      <c r="E17" s="342">
        <f>'!план для правки'!E14</f>
        <v>0</v>
      </c>
      <c r="F17" s="332">
        <f>'!план для правки'!F14</f>
        <v>70</v>
      </c>
      <c r="G17" s="332">
        <f>'!план для правки'!G14</f>
        <v>70</v>
      </c>
      <c r="H17" s="332">
        <f>'!план для правки'!I14</f>
        <v>0</v>
      </c>
      <c r="I17" s="332">
        <f>'!план для правки'!J14</f>
        <v>0</v>
      </c>
      <c r="J17" s="329"/>
      <c r="K17" s="332">
        <f>'!план для правки'!K14</f>
        <v>0</v>
      </c>
      <c r="L17" s="344">
        <f>'!план для правки'!L14</f>
        <v>0</v>
      </c>
      <c r="M17" s="348">
        <f>'!план для правки'!N14</f>
        <v>30</v>
      </c>
      <c r="N17" s="351">
        <f>'!план для правки'!Y14</f>
        <v>40</v>
      </c>
      <c r="O17" s="348">
        <f>'!план для правки'!AJ14</f>
        <v>0</v>
      </c>
      <c r="P17" s="351">
        <f>'!план для правки'!AU14</f>
        <v>0</v>
      </c>
      <c r="Q17" s="348">
        <f>'!план для правки'!BF14</f>
        <v>0</v>
      </c>
      <c r="R17" s="351" t="s">
        <v>366</v>
      </c>
      <c r="S17" s="348">
        <f>'!план для правки'!CB14</f>
        <v>0</v>
      </c>
    </row>
    <row r="18" spans="1:19" x14ac:dyDescent="0.25">
      <c r="A18" s="377" t="str">
        <f>'!план для правки'!A15</f>
        <v>ОДБ.07</v>
      </c>
      <c r="B18" s="374" t="str">
        <f>'!план для правки'!B15</f>
        <v>Математика</v>
      </c>
      <c r="C18" s="348" t="str">
        <f>'!план для правки'!C15</f>
        <v>~,э</v>
      </c>
      <c r="D18" s="351">
        <f>'!план для правки'!D15</f>
        <v>258</v>
      </c>
      <c r="E18" s="342">
        <f>'!план для правки'!E15</f>
        <v>0</v>
      </c>
      <c r="F18" s="332">
        <f>'!план для правки'!F15</f>
        <v>234</v>
      </c>
      <c r="G18" s="332">
        <f>'!план для правки'!G15</f>
        <v>234</v>
      </c>
      <c r="H18" s="332">
        <f>'!план для правки'!I15</f>
        <v>0</v>
      </c>
      <c r="I18" s="332">
        <f>'!план для правки'!J15</f>
        <v>0</v>
      </c>
      <c r="J18" s="329"/>
      <c r="K18" s="332">
        <f>'!план для правки'!K15</f>
        <v>12</v>
      </c>
      <c r="L18" s="344">
        <f>'!план для правки'!L15</f>
        <v>12</v>
      </c>
      <c r="M18" s="348">
        <f>'!план для правки'!N15</f>
        <v>102</v>
      </c>
      <c r="N18" s="351">
        <f>'!план для правки'!Y15</f>
        <v>156</v>
      </c>
      <c r="O18" s="348">
        <f>'!план для правки'!AJ15</f>
        <v>0</v>
      </c>
      <c r="P18" s="351">
        <f>'!план для правки'!AU15</f>
        <v>0</v>
      </c>
      <c r="Q18" s="348">
        <f>'!план для правки'!BF15</f>
        <v>0</v>
      </c>
      <c r="R18" s="351">
        <f>'!план для правки'!BQ15</f>
        <v>0</v>
      </c>
      <c r="S18" s="348">
        <f>'!план для правки'!CB15</f>
        <v>0</v>
      </c>
    </row>
    <row r="19" spans="1:19" ht="7.5" customHeight="1" thickBot="1" x14ac:dyDescent="0.3">
      <c r="A19" s="378"/>
      <c r="B19" s="379"/>
      <c r="C19" s="371"/>
      <c r="D19" s="380">
        <f>'!план для правки'!D16</f>
        <v>0</v>
      </c>
      <c r="E19" s="381">
        <f>'!план для правки'!E16</f>
        <v>0</v>
      </c>
      <c r="F19" s="382">
        <f>'!план для правки'!F16</f>
        <v>0</v>
      </c>
      <c r="G19" s="382">
        <f>'!план для правки'!G16</f>
        <v>0</v>
      </c>
      <c r="H19" s="382">
        <f>'!план для правки'!I16</f>
        <v>0</v>
      </c>
      <c r="I19" s="382">
        <f>'!план для правки'!J16</f>
        <v>0</v>
      </c>
      <c r="J19" s="383"/>
      <c r="K19" s="382">
        <f>'!план для правки'!K16</f>
        <v>0</v>
      </c>
      <c r="L19" s="384">
        <f>'!план для правки'!L16</f>
        <v>0</v>
      </c>
      <c r="M19" s="371">
        <f>'!план для правки'!N16</f>
        <v>0</v>
      </c>
      <c r="N19" s="380">
        <f>'!план для правки'!Y16</f>
        <v>0</v>
      </c>
      <c r="O19" s="371">
        <f>'!план для правки'!AJ16</f>
        <v>0</v>
      </c>
      <c r="P19" s="380">
        <f>'!план для правки'!AU16</f>
        <v>0</v>
      </c>
      <c r="Q19" s="371">
        <f>'!план для правки'!BF16</f>
        <v>0</v>
      </c>
      <c r="R19" s="380">
        <f>'!план для правки'!BQ16</f>
        <v>0</v>
      </c>
      <c r="S19" s="371">
        <f>'!план для правки'!CB16</f>
        <v>0</v>
      </c>
    </row>
    <row r="20" spans="1:19" s="328" customFormat="1" ht="14.25" customHeight="1" x14ac:dyDescent="0.25">
      <c r="A20" s="375" t="str">
        <f>'!план для правки'!A17</f>
        <v>ОДП.00</v>
      </c>
      <c r="B20" s="372" t="str">
        <f>'!план для правки'!B17</f>
        <v>По выбору из обязательных предметных областей</v>
      </c>
      <c r="C20" s="356">
        <f>'!план для правки'!C17</f>
        <v>0</v>
      </c>
      <c r="D20" s="357">
        <f>'!план для правки'!D17</f>
        <v>0</v>
      </c>
      <c r="E20" s="367">
        <f>'!план для правки'!E17</f>
        <v>0</v>
      </c>
      <c r="F20" s="359">
        <f>'!план для правки'!F17</f>
        <v>0</v>
      </c>
      <c r="G20" s="359">
        <f>'!план для правки'!G17</f>
        <v>0</v>
      </c>
      <c r="H20" s="359">
        <f>'!план для правки'!I17</f>
        <v>0</v>
      </c>
      <c r="I20" s="359">
        <f>'!план для правки'!J17</f>
        <v>0</v>
      </c>
      <c r="J20" s="360"/>
      <c r="K20" s="359">
        <f>'!план для правки'!K17</f>
        <v>0</v>
      </c>
      <c r="L20" s="361">
        <f>'!план для правки'!L17</f>
        <v>0</v>
      </c>
      <c r="M20" s="356">
        <f>'!план для правки'!N17</f>
        <v>206</v>
      </c>
      <c r="N20" s="357">
        <f>'!план для правки'!Y17</f>
        <v>297</v>
      </c>
      <c r="O20" s="356">
        <f>'!план для правки'!AJ17</f>
        <v>0</v>
      </c>
      <c r="P20" s="357">
        <f>'!план для правки'!AU17</f>
        <v>0</v>
      </c>
      <c r="Q20" s="356">
        <f>'!план для правки'!BF17</f>
        <v>0</v>
      </c>
      <c r="R20" s="357">
        <f>'!план для правки'!BQ17</f>
        <v>0</v>
      </c>
      <c r="S20" s="356">
        <f>'!план для правки'!CB17</f>
        <v>0</v>
      </c>
    </row>
    <row r="21" spans="1:19" x14ac:dyDescent="0.25">
      <c r="A21" s="377" t="str">
        <f>'!план для правки'!A18</f>
        <v>ОДП.01</v>
      </c>
      <c r="B21" s="374" t="str">
        <f>'!план для правки'!B18</f>
        <v>Информатика</v>
      </c>
      <c r="C21" s="348" t="str">
        <f>'!план для правки'!C18</f>
        <v>~,э</v>
      </c>
      <c r="D21" s="351">
        <f>'!план для правки'!D18</f>
        <v>124</v>
      </c>
      <c r="E21" s="342">
        <f>'!план для правки'!E18</f>
        <v>0</v>
      </c>
      <c r="F21" s="332">
        <f>'!план для правки'!F18</f>
        <v>100</v>
      </c>
      <c r="G21" s="332">
        <f>'!план для правки'!G18</f>
        <v>70</v>
      </c>
      <c r="H21" s="332">
        <f>'!план для правки'!I18</f>
        <v>30</v>
      </c>
      <c r="I21" s="332">
        <f>'!план для правки'!J18</f>
        <v>0</v>
      </c>
      <c r="J21" s="329"/>
      <c r="K21" s="332">
        <f>'!план для правки'!K18</f>
        <v>12</v>
      </c>
      <c r="L21" s="344">
        <f>'!план для правки'!L18</f>
        <v>12</v>
      </c>
      <c r="M21" s="348">
        <f>'!план для правки'!N18</f>
        <v>34</v>
      </c>
      <c r="N21" s="351">
        <f>'!план для правки'!Y18</f>
        <v>90</v>
      </c>
      <c r="O21" s="348">
        <f>'!план для правки'!AJ18</f>
        <v>0</v>
      </c>
      <c r="P21" s="351">
        <f>'!план для правки'!AU18</f>
        <v>0</v>
      </c>
      <c r="Q21" s="348">
        <f>'!план для правки'!BF18</f>
        <v>0</v>
      </c>
      <c r="R21" s="351">
        <f>'!план для правки'!BQ18</f>
        <v>0</v>
      </c>
      <c r="S21" s="348">
        <f>'!план для правки'!CB18</f>
        <v>0</v>
      </c>
    </row>
    <row r="22" spans="1:19" x14ac:dyDescent="0.25">
      <c r="A22" s="377" t="str">
        <f>'!план для правки'!A19</f>
        <v>ОДП.02</v>
      </c>
      <c r="B22" s="374" t="str">
        <f>'!план для правки'!B19</f>
        <v>Физика</v>
      </c>
      <c r="C22" s="348" t="str">
        <f>'!план для правки'!C19</f>
        <v>~,дз</v>
      </c>
      <c r="D22" s="351">
        <f>'!план для правки'!D19</f>
        <v>121</v>
      </c>
      <c r="E22" s="342">
        <f>'!план для правки'!E19</f>
        <v>0</v>
      </c>
      <c r="F22" s="332">
        <f>'!план для правки'!F19</f>
        <v>121</v>
      </c>
      <c r="G22" s="332">
        <f>'!план для правки'!G19</f>
        <v>85</v>
      </c>
      <c r="H22" s="332">
        <f>'!план для правки'!I19</f>
        <v>36</v>
      </c>
      <c r="I22" s="332">
        <f>'!план для правки'!J19</f>
        <v>0</v>
      </c>
      <c r="J22" s="329"/>
      <c r="K22" s="332">
        <f>'!план для правки'!K19</f>
        <v>0</v>
      </c>
      <c r="L22" s="344">
        <f>'!план для правки'!L19</f>
        <v>0</v>
      </c>
      <c r="M22" s="348">
        <f>'!план для правки'!N19</f>
        <v>68</v>
      </c>
      <c r="N22" s="351">
        <f>'!план для правки'!Y19</f>
        <v>53</v>
      </c>
      <c r="O22" s="348">
        <f>'!план для правки'!AJ19</f>
        <v>0</v>
      </c>
      <c r="P22" s="351">
        <f>'!план для правки'!AU19</f>
        <v>0</v>
      </c>
      <c r="Q22" s="348">
        <f>'!план для правки'!BF19</f>
        <v>0</v>
      </c>
      <c r="R22" s="351">
        <f>'!план для правки'!BQ19</f>
        <v>0</v>
      </c>
      <c r="S22" s="348">
        <f>'!план для правки'!CB19</f>
        <v>0</v>
      </c>
    </row>
    <row r="23" spans="1:19" ht="16.5" thickBot="1" x14ac:dyDescent="0.3">
      <c r="A23" s="326" t="str">
        <f>'!план для правки'!A20</f>
        <v>ОДП.03</v>
      </c>
      <c r="B23" s="368" t="str">
        <f>'!план для правки'!B20</f>
        <v>Химия</v>
      </c>
      <c r="C23" s="371" t="str">
        <f>'!план для правки'!C20</f>
        <v>~,дз</v>
      </c>
      <c r="D23" s="351">
        <f>'!план для правки'!D20</f>
        <v>114</v>
      </c>
      <c r="E23" s="342">
        <f>'!план для правки'!E20</f>
        <v>0</v>
      </c>
      <c r="F23" s="332">
        <f>'!план для правки'!F20</f>
        <v>114</v>
      </c>
      <c r="G23" s="332">
        <f>'!план для правки'!G20</f>
        <v>92</v>
      </c>
      <c r="H23" s="332">
        <f>'!план для правки'!I20</f>
        <v>22</v>
      </c>
      <c r="I23" s="332">
        <f>'!план для правки'!J20</f>
        <v>0</v>
      </c>
      <c r="J23" s="329"/>
      <c r="K23" s="332">
        <f>'!план для правки'!K20</f>
        <v>0</v>
      </c>
      <c r="L23" s="344">
        <f>'!план для правки'!L20</f>
        <v>0</v>
      </c>
      <c r="M23" s="348">
        <f>'!план для правки'!N20</f>
        <v>34</v>
      </c>
      <c r="N23" s="348">
        <f>'!план для правки'!Y20</f>
        <v>80</v>
      </c>
      <c r="O23" s="348">
        <f>'!план для правки'!AJ20</f>
        <v>0</v>
      </c>
      <c r="P23" s="351">
        <f>'!план для правки'!AU20</f>
        <v>0</v>
      </c>
      <c r="Q23" s="348">
        <f>'!план для правки'!BF20</f>
        <v>0</v>
      </c>
      <c r="R23" s="351">
        <f>'!план для правки'!BQ20</f>
        <v>0</v>
      </c>
      <c r="S23" s="351">
        <f>'!план для правки'!CB20</f>
        <v>0</v>
      </c>
    </row>
    <row r="24" spans="1:19" ht="31.5" x14ac:dyDescent="0.25">
      <c r="A24" s="326" t="str">
        <f>'!план для правки'!A21</f>
        <v>ОДП.04</v>
      </c>
      <c r="B24" s="387" t="str">
        <f>'!план для правки'!B21</f>
        <v>Обществознание (вкл. экономику и право)</v>
      </c>
      <c r="C24" s="390" t="str">
        <f>'!план для правки'!C21</f>
        <v>~,дз</v>
      </c>
      <c r="D24" s="348">
        <f>'!план для правки'!D21</f>
        <v>108</v>
      </c>
      <c r="E24" s="342">
        <f>'!план для правки'!E21</f>
        <v>0</v>
      </c>
      <c r="F24" s="332">
        <f>'!план для правки'!F21</f>
        <v>108</v>
      </c>
      <c r="G24" s="332">
        <f>'!план для правки'!G21</f>
        <v>108</v>
      </c>
      <c r="H24" s="332">
        <f>'!план для правки'!I21</f>
        <v>0</v>
      </c>
      <c r="I24" s="332">
        <f>'!план для правки'!J21</f>
        <v>0</v>
      </c>
      <c r="J24" s="329"/>
      <c r="K24" s="332">
        <f>'!план для правки'!K21</f>
        <v>0</v>
      </c>
      <c r="L24" s="344">
        <f>'!план для правки'!L21</f>
        <v>0</v>
      </c>
      <c r="M24" s="348">
        <f>'!план для правки'!N21</f>
        <v>34</v>
      </c>
      <c r="N24" s="348">
        <f>'!план для правки'!Y21</f>
        <v>74</v>
      </c>
      <c r="O24" s="348">
        <f>'!план для правки'!AJ21</f>
        <v>0</v>
      </c>
      <c r="P24" s="348">
        <f>'!план для правки'!AU21</f>
        <v>0</v>
      </c>
      <c r="Q24" s="348">
        <f>'!план для правки'!BF21</f>
        <v>0</v>
      </c>
      <c r="R24" s="348">
        <f>'!план для правки'!BQ21</f>
        <v>0</v>
      </c>
      <c r="S24" s="351">
        <f>'!план для правки'!CB21</f>
        <v>0</v>
      </c>
    </row>
    <row r="25" spans="1:19" ht="16.5" thickBot="1" x14ac:dyDescent="0.3">
      <c r="A25" s="385" t="str">
        <f>'!план для правки'!A22</f>
        <v>ОДП.05</v>
      </c>
      <c r="B25" s="388" t="str">
        <f>'!план для правки'!B22</f>
        <v>Биология</v>
      </c>
      <c r="C25" s="371" t="str">
        <f>'!план для правки'!C22</f>
        <v>дз</v>
      </c>
      <c r="D25" s="371">
        <f>'!план для правки'!D22</f>
        <v>36</v>
      </c>
      <c r="E25" s="381">
        <f>'!план для правки'!E22</f>
        <v>0</v>
      </c>
      <c r="F25" s="382">
        <f>'!план для правки'!F22</f>
        <v>36</v>
      </c>
      <c r="G25" s="382">
        <f>'!план для правки'!G22</f>
        <v>36</v>
      </c>
      <c r="H25" s="382">
        <f>'!план для правки'!I22</f>
        <v>0</v>
      </c>
      <c r="I25" s="382">
        <f>'!план для правки'!J22</f>
        <v>0</v>
      </c>
      <c r="J25" s="383"/>
      <c r="K25" s="382">
        <f>'!план для правки'!K22</f>
        <v>0</v>
      </c>
      <c r="L25" s="384">
        <f>'!план для правки'!L22</f>
        <v>0</v>
      </c>
      <c r="M25" s="371">
        <f>'!план для правки'!N22</f>
        <v>36</v>
      </c>
      <c r="N25" s="371">
        <f>'!план для правки'!Y22</f>
        <v>0</v>
      </c>
      <c r="O25" s="371">
        <f>'!план для правки'!AJ22</f>
        <v>0</v>
      </c>
      <c r="P25" s="371">
        <f>'!план для правки'!AU22</f>
        <v>0</v>
      </c>
      <c r="Q25" s="371">
        <f>'!план для правки'!BF22</f>
        <v>0</v>
      </c>
      <c r="R25" s="371">
        <f>'!план для правки'!BQ22</f>
        <v>0</v>
      </c>
      <c r="S25" s="380">
        <f>'!план для правки'!CB22</f>
        <v>0</v>
      </c>
    </row>
    <row r="26" spans="1:19" s="328" customFormat="1" x14ac:dyDescent="0.25">
      <c r="A26" s="395">
        <f>'!план для правки'!A23</f>
        <v>0</v>
      </c>
      <c r="B26" s="394" t="str">
        <f>'!план для правки'!B23</f>
        <v xml:space="preserve">Дополнительные </v>
      </c>
      <c r="C26" s="356">
        <f>'!план для правки'!C23</f>
        <v>0</v>
      </c>
      <c r="D26" s="356">
        <f>'!план для правки'!D23</f>
        <v>39</v>
      </c>
      <c r="E26" s="367">
        <f>'!план для правки'!E23</f>
        <v>0</v>
      </c>
      <c r="F26" s="359">
        <f>'!план для правки'!F23</f>
        <v>0</v>
      </c>
      <c r="G26" s="359">
        <f>'!план для правки'!G23</f>
        <v>0</v>
      </c>
      <c r="H26" s="359">
        <f>'!план для правки'!I23</f>
        <v>0</v>
      </c>
      <c r="I26" s="359">
        <f>'!план для правки'!J23</f>
        <v>0</v>
      </c>
      <c r="J26" s="360"/>
      <c r="K26" s="359">
        <f>'!план для правки'!K23</f>
        <v>0</v>
      </c>
      <c r="L26" s="361">
        <f>'!план для правки'!L23</f>
        <v>0</v>
      </c>
      <c r="M26" s="356">
        <f>'!план для правки'!N23</f>
        <v>39</v>
      </c>
      <c r="N26" s="356">
        <f>'!план для правки'!Y23</f>
        <v>0</v>
      </c>
      <c r="O26" s="356">
        <f>'!план для правки'!AJ23</f>
        <v>0</v>
      </c>
      <c r="P26" s="356">
        <f>'!план для правки'!AU23</f>
        <v>0</v>
      </c>
      <c r="Q26" s="356">
        <f>'!план для правки'!BF23</f>
        <v>0</v>
      </c>
      <c r="R26" s="356">
        <f>'!план для правки'!BQ23</f>
        <v>0</v>
      </c>
      <c r="S26" s="357">
        <f>'!план для правки'!CB23</f>
        <v>0</v>
      </c>
    </row>
    <row r="27" spans="1:19" ht="18.75" customHeight="1" x14ac:dyDescent="0.25">
      <c r="A27" s="377" t="str">
        <f>'!план для правки'!A24</f>
        <v>ОДП.Д.08</v>
      </c>
      <c r="B27" s="392" t="str">
        <f>'!план для правки'!B24</f>
        <v>Основы проектной деятельности</v>
      </c>
      <c r="C27" s="348" t="str">
        <f>'!план для правки'!C24</f>
        <v>дз</v>
      </c>
      <c r="D27" s="348">
        <f>'!план для правки'!D24</f>
        <v>39</v>
      </c>
      <c r="E27" s="342">
        <f>'!план для правки'!E24</f>
        <v>0</v>
      </c>
      <c r="F27" s="332">
        <f>'!план для правки'!F24</f>
        <v>39</v>
      </c>
      <c r="G27" s="332">
        <f>'!план для правки'!G24</f>
        <v>19</v>
      </c>
      <c r="H27" s="332">
        <f>'!план для правки'!I24</f>
        <v>20</v>
      </c>
      <c r="I27" s="332">
        <f>'!план для правки'!J24</f>
        <v>0</v>
      </c>
      <c r="J27" s="329"/>
      <c r="K27" s="332">
        <f>'!план для правки'!K24</f>
        <v>0</v>
      </c>
      <c r="L27" s="344">
        <f>'!план для правки'!L24</f>
        <v>0</v>
      </c>
      <c r="M27" s="348">
        <f>'!план для правки'!N24</f>
        <v>39</v>
      </c>
      <c r="N27" s="348">
        <f>'!план для правки'!Y24</f>
        <v>0</v>
      </c>
      <c r="O27" s="348">
        <f>'!план для правки'!AJ24</f>
        <v>0</v>
      </c>
      <c r="P27" s="348">
        <f>'!план для правки'!AU24</f>
        <v>0</v>
      </c>
      <c r="Q27" s="348">
        <f>'!план для правки'!BF24</f>
        <v>0</v>
      </c>
      <c r="R27" s="348">
        <f>'!план для правки'!BQ24</f>
        <v>0</v>
      </c>
      <c r="S27" s="351">
        <f>'!план для правки'!CB24</f>
        <v>0</v>
      </c>
    </row>
    <row r="28" spans="1:19" ht="7.5" customHeight="1" thickBot="1" x14ac:dyDescent="0.3">
      <c r="A28" s="378">
        <f>'!план для правки'!A25</f>
        <v>0</v>
      </c>
      <c r="B28" s="393">
        <f>'!план для правки'!B25</f>
        <v>0</v>
      </c>
      <c r="C28" s="371">
        <f>'!план для правки'!C25</f>
        <v>0</v>
      </c>
      <c r="D28" s="371">
        <f>'!план для правки'!D25</f>
        <v>0</v>
      </c>
      <c r="E28" s="381">
        <f>'!план для правки'!E25</f>
        <v>0</v>
      </c>
      <c r="F28" s="382">
        <f>'!план для правки'!F25</f>
        <v>0</v>
      </c>
      <c r="G28" s="382">
        <f>'!план для правки'!G25</f>
        <v>0</v>
      </c>
      <c r="H28" s="382">
        <f>'!план для правки'!I25</f>
        <v>0</v>
      </c>
      <c r="I28" s="382">
        <f>'!план для правки'!J25</f>
        <v>0</v>
      </c>
      <c r="J28" s="383"/>
      <c r="K28" s="382">
        <f>'!план для правки'!K25</f>
        <v>0</v>
      </c>
      <c r="L28" s="384">
        <f>'!план для правки'!L25</f>
        <v>0</v>
      </c>
      <c r="M28" s="371">
        <f>'!план для правки'!N25</f>
        <v>0</v>
      </c>
      <c r="N28" s="371">
        <f>'!план для правки'!Y25</f>
        <v>0</v>
      </c>
      <c r="O28" s="371">
        <f>'!план для правки'!AJ25</f>
        <v>0</v>
      </c>
      <c r="P28" s="371">
        <f>'!план для правки'!AU25</f>
        <v>0</v>
      </c>
      <c r="Q28" s="371">
        <f>'!план для правки'!BF25</f>
        <v>0</v>
      </c>
      <c r="R28" s="371">
        <f>'!план для правки'!BQ25</f>
        <v>0</v>
      </c>
      <c r="S28" s="380">
        <f>'!план для правки'!CB25</f>
        <v>0</v>
      </c>
    </row>
    <row r="29" spans="1:19" s="328" customFormat="1" ht="37.5" customHeight="1" x14ac:dyDescent="0.25">
      <c r="A29" s="375" t="str">
        <f>'!план для правки'!A26</f>
        <v>ОГСЭ.00</v>
      </c>
      <c r="B29" s="394" t="str">
        <f>'!план для правки'!B26</f>
        <v>Общий гуманитарный и социально-экономический цикл</v>
      </c>
      <c r="C29" s="356" t="str">
        <f>'!план для правки'!C26</f>
        <v>0/7/8</v>
      </c>
      <c r="D29" s="356">
        <f>'!план для правки'!D26</f>
        <v>532</v>
      </c>
      <c r="E29" s="367">
        <f>'!план для правки'!E26</f>
        <v>0</v>
      </c>
      <c r="F29" s="359">
        <f>'!план для правки'!F26</f>
        <v>532</v>
      </c>
      <c r="G29" s="359">
        <f>'!план для правки'!G26</f>
        <v>502</v>
      </c>
      <c r="H29" s="359">
        <f>'!план для правки'!I26</f>
        <v>30</v>
      </c>
      <c r="I29" s="359">
        <f>'!план для правки'!J26</f>
        <v>0</v>
      </c>
      <c r="J29" s="360"/>
      <c r="K29" s="359">
        <f>'!план для правки'!K26</f>
        <v>0</v>
      </c>
      <c r="L29" s="361">
        <f>'!план для правки'!L26</f>
        <v>0</v>
      </c>
      <c r="M29" s="356">
        <f>'!план для правки'!N26</f>
        <v>0</v>
      </c>
      <c r="N29" s="356">
        <f>'!план для правки'!Y26</f>
        <v>0</v>
      </c>
      <c r="O29" s="356">
        <f>'!план для правки'!AJ26</f>
        <v>120</v>
      </c>
      <c r="P29" s="356">
        <f>'!план для правки'!AU26</f>
        <v>120</v>
      </c>
      <c r="Q29" s="356">
        <f>'!план для правки'!BF26</f>
        <v>48</v>
      </c>
      <c r="R29" s="356">
        <f>'!план для правки'!BQ26</f>
        <v>76</v>
      </c>
      <c r="S29" s="357">
        <f>'!план для правки'!CB26</f>
        <v>168</v>
      </c>
    </row>
    <row r="30" spans="1:19" x14ac:dyDescent="0.25">
      <c r="A30" s="377" t="str">
        <f>'!план для правки'!A27</f>
        <v>ОГСЭ.01</v>
      </c>
      <c r="B30" s="392" t="str">
        <f>'!план для правки'!B27</f>
        <v>Основы     философии</v>
      </c>
      <c r="C30" s="348" t="str">
        <f>'!план для правки'!C27</f>
        <v>~</v>
      </c>
      <c r="D30" s="348">
        <f>'!план для правки'!D27</f>
        <v>48</v>
      </c>
      <c r="E30" s="342">
        <f>'!план для правки'!E27</f>
        <v>0</v>
      </c>
      <c r="F30" s="332">
        <f>'!план для правки'!F27</f>
        <v>48</v>
      </c>
      <c r="G30" s="332">
        <f>'!план для правки'!G27</f>
        <v>48</v>
      </c>
      <c r="H30" s="332">
        <f>'!план для правки'!I27</f>
        <v>0</v>
      </c>
      <c r="I30" s="332">
        <f>'!план для правки'!J27</f>
        <v>0</v>
      </c>
      <c r="J30" s="329"/>
      <c r="K30" s="332">
        <f>'!план для правки'!K27</f>
        <v>0</v>
      </c>
      <c r="L30" s="344">
        <f>'!план для правки'!L27</f>
        <v>0</v>
      </c>
      <c r="M30" s="348">
        <f>'!план для правки'!N27</f>
        <v>0</v>
      </c>
      <c r="N30" s="348">
        <f>'!план для правки'!Y27</f>
        <v>0</v>
      </c>
      <c r="O30" s="348">
        <f>'!план для правки'!AJ27</f>
        <v>0</v>
      </c>
      <c r="P30" s="348">
        <f>'!план для правки'!AU27</f>
        <v>0</v>
      </c>
      <c r="Q30" s="348">
        <f>'!план для правки'!BF27</f>
        <v>0</v>
      </c>
      <c r="R30" s="348">
        <f>'!план для правки'!BQ27</f>
        <v>0</v>
      </c>
      <c r="S30" s="351">
        <f>'!план для правки'!CB27</f>
        <v>48</v>
      </c>
    </row>
    <row r="31" spans="1:19" x14ac:dyDescent="0.25">
      <c r="A31" s="377" t="str">
        <f>'!план для правки'!A28</f>
        <v>ОГСЭ.02</v>
      </c>
      <c r="B31" s="392" t="str">
        <f>'!план для правки'!B28</f>
        <v>История</v>
      </c>
      <c r="C31" s="348" t="str">
        <f>'!план для правки'!C28</f>
        <v>дз</v>
      </c>
      <c r="D31" s="348">
        <f>'!план для правки'!D28</f>
        <v>40</v>
      </c>
      <c r="E31" s="342">
        <f>'!план для правки'!E28</f>
        <v>0</v>
      </c>
      <c r="F31" s="332">
        <f>'!план для правки'!F28</f>
        <v>40</v>
      </c>
      <c r="G31" s="332">
        <f>'!план для правки'!G28</f>
        <v>40</v>
      </c>
      <c r="H31" s="332">
        <f>'!план для правки'!I28</f>
        <v>0</v>
      </c>
      <c r="I31" s="332">
        <f>'!план для правки'!J28</f>
        <v>0</v>
      </c>
      <c r="J31" s="329"/>
      <c r="K31" s="332">
        <f>'!план для правки'!K28</f>
        <v>0</v>
      </c>
      <c r="L31" s="344">
        <f>'!план для правки'!L28</f>
        <v>0</v>
      </c>
      <c r="M31" s="348">
        <f>'!план для правки'!N28</f>
        <v>0</v>
      </c>
      <c r="N31" s="348">
        <f>'!план для правки'!Y28</f>
        <v>0</v>
      </c>
      <c r="O31" s="348">
        <f>'!план для правки'!AJ28</f>
        <v>0</v>
      </c>
      <c r="P31" s="348">
        <f>'!план для правки'!AU28</f>
        <v>40</v>
      </c>
      <c r="Q31" s="348">
        <f>'!план для правки'!BF28</f>
        <v>0</v>
      </c>
      <c r="R31" s="348">
        <f>'!план для правки'!BQ28</f>
        <v>0</v>
      </c>
      <c r="S31" s="351">
        <f>'!план для правки'!CB28</f>
        <v>0</v>
      </c>
    </row>
    <row r="32" spans="1:19" x14ac:dyDescent="0.25">
      <c r="A32" s="377" t="str">
        <f>'!план для правки'!A29</f>
        <v>ОГСЭ.03</v>
      </c>
      <c r="B32" s="392" t="str">
        <f>'!план для правки'!B29</f>
        <v>Психология общения</v>
      </c>
      <c r="C32" s="348" t="str">
        <f>'!план для правки'!C29</f>
        <v>дз</v>
      </c>
      <c r="D32" s="348">
        <f>'!план для правки'!D29</f>
        <v>48</v>
      </c>
      <c r="E32" s="342">
        <f>'!план для правки'!E29</f>
        <v>0</v>
      </c>
      <c r="F32" s="332">
        <f>'!план для правки'!F29</f>
        <v>48</v>
      </c>
      <c r="G32" s="332">
        <f>'!план для правки'!G29</f>
        <v>48</v>
      </c>
      <c r="H32" s="332">
        <f>'!план для правки'!I29</f>
        <v>0</v>
      </c>
      <c r="I32" s="332">
        <f>'!план для правки'!J29</f>
        <v>0</v>
      </c>
      <c r="J32" s="329"/>
      <c r="K32" s="332">
        <f>'!план для правки'!K29</f>
        <v>0</v>
      </c>
      <c r="L32" s="344">
        <f>'!план для правки'!L29</f>
        <v>0</v>
      </c>
      <c r="M32" s="348">
        <f>'!план для правки'!N29</f>
        <v>0</v>
      </c>
      <c r="N32" s="348">
        <f>'!план для правки'!Y29</f>
        <v>0</v>
      </c>
      <c r="O32" s="348">
        <f>'!план для правки'!AJ29</f>
        <v>0</v>
      </c>
      <c r="P32" s="348">
        <f>'!план для правки'!AU29</f>
        <v>0</v>
      </c>
      <c r="Q32" s="348">
        <f>'!план для правки'!BF29</f>
        <v>0</v>
      </c>
      <c r="R32" s="348">
        <f>'!план для правки'!BQ29</f>
        <v>0</v>
      </c>
      <c r="S32" s="351">
        <f>'!план для правки'!CB29</f>
        <v>48</v>
      </c>
    </row>
    <row r="33" spans="1:19" ht="34.5" customHeight="1" x14ac:dyDescent="0.25">
      <c r="A33" s="377" t="str">
        <f>'!план для правки'!A30</f>
        <v>ОГСЭ.04</v>
      </c>
      <c r="B33" s="392" t="str">
        <f>'!план для правки'!B30</f>
        <v>Иностранный язык</v>
      </c>
      <c r="C33" s="348" t="str">
        <f>'!план для правки'!C30</f>
        <v>~,дз, ~,дз,дз</v>
      </c>
      <c r="D33" s="348">
        <f>'!план для правки'!D30</f>
        <v>168</v>
      </c>
      <c r="E33" s="342">
        <f>'!план для правки'!E30</f>
        <v>0</v>
      </c>
      <c r="F33" s="332">
        <f>'!план для правки'!F30</f>
        <v>168</v>
      </c>
      <c r="G33" s="332">
        <f>'!план для правки'!G30</f>
        <v>0</v>
      </c>
      <c r="H33" s="332">
        <f>'!план для правки'!I30</f>
        <v>168</v>
      </c>
      <c r="I33" s="332">
        <f>'!план для правки'!J30</f>
        <v>0</v>
      </c>
      <c r="J33" s="329"/>
      <c r="K33" s="332">
        <f>'!план для правки'!K30</f>
        <v>0</v>
      </c>
      <c r="L33" s="344">
        <f>'!план для правки'!L30</f>
        <v>0</v>
      </c>
      <c r="M33" s="348">
        <f>'!план для правки'!N30</f>
        <v>0</v>
      </c>
      <c r="N33" s="348">
        <f>'!план для правки'!Y30</f>
        <v>0</v>
      </c>
      <c r="O33" s="348">
        <f>'!план для правки'!AJ30</f>
        <v>30</v>
      </c>
      <c r="P33" s="348">
        <f>'!план для правки'!AU30</f>
        <v>40</v>
      </c>
      <c r="Q33" s="348">
        <f>'!план для правки'!BF30</f>
        <v>24</v>
      </c>
      <c r="R33" s="348">
        <f>'!план для правки'!BQ30</f>
        <v>38</v>
      </c>
      <c r="S33" s="351">
        <f>'!план для правки'!CB30</f>
        <v>36</v>
      </c>
    </row>
    <row r="34" spans="1:19" x14ac:dyDescent="0.25">
      <c r="A34" s="377" t="str">
        <f>'!план для правки'!A31</f>
        <v>ОГСЭ.05</v>
      </c>
      <c r="B34" s="392" t="str">
        <f>'!план для правки'!B31</f>
        <v>Физическая культура</v>
      </c>
      <c r="C34" s="348" t="str">
        <f>'!план для правки'!C31</f>
        <v>з,з,з,з,з</v>
      </c>
      <c r="D34" s="348">
        <f>'!план для правки'!D31</f>
        <v>168</v>
      </c>
      <c r="E34" s="342">
        <f>'!план для правки'!E31</f>
        <v>0</v>
      </c>
      <c r="F34" s="332">
        <f>'!план для правки'!F31</f>
        <v>168</v>
      </c>
      <c r="G34" s="332">
        <f>'!план для правки'!G31</f>
        <v>168</v>
      </c>
      <c r="H34" s="332">
        <f>'!план для правки'!I31</f>
        <v>0</v>
      </c>
      <c r="I34" s="332">
        <f>'!план для правки'!J31</f>
        <v>0</v>
      </c>
      <c r="J34" s="329"/>
      <c r="K34" s="332">
        <f>'!план для правки'!K31</f>
        <v>0</v>
      </c>
      <c r="L34" s="344">
        <f>'!план для правки'!L31</f>
        <v>0</v>
      </c>
      <c r="M34" s="348">
        <f>'!план для правки'!N31</f>
        <v>0</v>
      </c>
      <c r="N34" s="348">
        <f>'!план для правки'!Y31</f>
        <v>0</v>
      </c>
      <c r="O34" s="348">
        <f>'!план для правки'!AJ31</f>
        <v>30</v>
      </c>
      <c r="P34" s="348">
        <f>'!план для правки'!AU31</f>
        <v>40</v>
      </c>
      <c r="Q34" s="348">
        <f>'!план для правки'!BF31</f>
        <v>24</v>
      </c>
      <c r="R34" s="348">
        <f>'!план для правки'!BQ31</f>
        <v>38</v>
      </c>
      <c r="S34" s="351">
        <f>'!план для правки'!CB31</f>
        <v>36</v>
      </c>
    </row>
    <row r="35" spans="1:19" ht="21" customHeight="1" x14ac:dyDescent="0.25">
      <c r="A35" s="377" t="str">
        <f>'!план для правки'!A32</f>
        <v>ОГСЭ.В.06</v>
      </c>
      <c r="B35" s="392" t="str">
        <f>'!план для правки'!B32</f>
        <v>Русский язык и культура речи</v>
      </c>
      <c r="C35" s="348" t="str">
        <f>'!план для правки'!C32</f>
        <v>дз</v>
      </c>
      <c r="D35" s="348">
        <f>'!план для правки'!D32</f>
        <v>30</v>
      </c>
      <c r="E35" s="342">
        <f>'!план для правки'!E32</f>
        <v>0</v>
      </c>
      <c r="F35" s="332">
        <f>'!план для правки'!F32</f>
        <v>30</v>
      </c>
      <c r="G35" s="332">
        <f>'!план для правки'!G32</f>
        <v>30</v>
      </c>
      <c r="H35" s="332">
        <f>'!план для правки'!I32</f>
        <v>0</v>
      </c>
      <c r="I35" s="332">
        <f>'!план для правки'!J32</f>
        <v>0</v>
      </c>
      <c r="J35" s="329"/>
      <c r="K35" s="332">
        <f>'!план для правки'!K32</f>
        <v>0</v>
      </c>
      <c r="L35" s="344">
        <f>'!план для правки'!L32</f>
        <v>0</v>
      </c>
      <c r="M35" s="348">
        <f>'!план для правки'!N32</f>
        <v>0</v>
      </c>
      <c r="N35" s="348">
        <f>'!план для правки'!Y32</f>
        <v>0</v>
      </c>
      <c r="O35" s="348">
        <f>'!план для правки'!AJ32</f>
        <v>30</v>
      </c>
      <c r="P35" s="348">
        <f>'!план для правки'!AU32</f>
        <v>0</v>
      </c>
      <c r="Q35" s="348">
        <f>'!план для правки'!BF32</f>
        <v>0</v>
      </c>
      <c r="R35" s="348">
        <f>'!план для правки'!BQ32</f>
        <v>0</v>
      </c>
      <c r="S35" s="351">
        <f>'!план для правки'!CB32</f>
        <v>0</v>
      </c>
    </row>
    <row r="36" spans="1:19" ht="17.25" customHeight="1" x14ac:dyDescent="0.25">
      <c r="A36" s="377" t="str">
        <f>'!план для правки'!A33</f>
        <v>ОГСЭ.В.07</v>
      </c>
      <c r="B36" s="392" t="str">
        <f>'!план для правки'!B33</f>
        <v>Введение в специальность</v>
      </c>
      <c r="C36" s="348" t="str">
        <f>'!план для правки'!C33</f>
        <v>з</v>
      </c>
      <c r="D36" s="348">
        <f>'!план для правки'!D33</f>
        <v>30</v>
      </c>
      <c r="E36" s="342">
        <f>'!план для правки'!E33</f>
        <v>0</v>
      </c>
      <c r="F36" s="332">
        <f>'!план для правки'!F33</f>
        <v>30</v>
      </c>
      <c r="G36" s="332">
        <f>'!план для правки'!G33</f>
        <v>30</v>
      </c>
      <c r="H36" s="332">
        <f>'!план для правки'!I33</f>
        <v>0</v>
      </c>
      <c r="I36" s="332">
        <f>'!план для правки'!J33</f>
        <v>0</v>
      </c>
      <c r="J36" s="329"/>
      <c r="K36" s="332">
        <f>'!план для правки'!K33</f>
        <v>0</v>
      </c>
      <c r="L36" s="344">
        <f>'!план для правки'!L33</f>
        <v>0</v>
      </c>
      <c r="M36" s="348">
        <f>'!план для правки'!N33</f>
        <v>0</v>
      </c>
      <c r="N36" s="348">
        <f>'!план для правки'!Y33</f>
        <v>0</v>
      </c>
      <c r="O36" s="348">
        <f>'!план для правки'!AJ33</f>
        <v>30</v>
      </c>
      <c r="P36" s="348">
        <f>'!план для правки'!AU33</f>
        <v>0</v>
      </c>
      <c r="Q36" s="348">
        <f>'!план для правки'!BF33</f>
        <v>0</v>
      </c>
      <c r="R36" s="348">
        <f>'!план для правки'!BQ33</f>
        <v>0</v>
      </c>
      <c r="S36" s="351">
        <f>'!план для правки'!CB33</f>
        <v>0</v>
      </c>
    </row>
    <row r="37" spans="1:19" ht="8.25" customHeight="1" thickBot="1" x14ac:dyDescent="0.3">
      <c r="A37" s="378">
        <f>'!план для правки'!A34</f>
        <v>0</v>
      </c>
      <c r="B37" s="393">
        <f>'!план для правки'!B34</f>
        <v>0</v>
      </c>
      <c r="C37" s="371">
        <f>'!план для правки'!C34</f>
        <v>0</v>
      </c>
      <c r="D37" s="371">
        <f>'!план для правки'!D34</f>
        <v>0</v>
      </c>
      <c r="E37" s="381">
        <f>'!план для правки'!E34</f>
        <v>0</v>
      </c>
      <c r="F37" s="382">
        <f>'!план для правки'!F34</f>
        <v>0</v>
      </c>
      <c r="G37" s="382">
        <f>'!план для правки'!G34</f>
        <v>0</v>
      </c>
      <c r="H37" s="382">
        <f>'!план для правки'!I34</f>
        <v>0</v>
      </c>
      <c r="I37" s="382">
        <f>'!план для правки'!J34</f>
        <v>0</v>
      </c>
      <c r="J37" s="383"/>
      <c r="K37" s="382">
        <f>'!план для правки'!K34</f>
        <v>0</v>
      </c>
      <c r="L37" s="384">
        <f>'!план для правки'!L34</f>
        <v>0</v>
      </c>
      <c r="M37" s="371">
        <f>'!план для правки'!N34</f>
        <v>0</v>
      </c>
      <c r="N37" s="371">
        <f>'!план для правки'!Y34</f>
        <v>0</v>
      </c>
      <c r="O37" s="371">
        <f>'!план для правки'!AJ34</f>
        <v>0</v>
      </c>
      <c r="P37" s="371">
        <f>'!план для правки'!AU34</f>
        <v>0</v>
      </c>
      <c r="Q37" s="371">
        <f>'!план для правки'!BF34</f>
        <v>0</v>
      </c>
      <c r="R37" s="371">
        <f>'!план для правки'!BQ34</f>
        <v>0</v>
      </c>
      <c r="S37" s="380">
        <f>'!план для правки'!CB34</f>
        <v>0</v>
      </c>
    </row>
    <row r="38" spans="1:19" s="328" customFormat="1" ht="36" customHeight="1" thickBot="1" x14ac:dyDescent="0.3">
      <c r="A38" s="375" t="str">
        <f>'!план для правки'!A35</f>
        <v>ЕН.00</v>
      </c>
      <c r="B38" s="394" t="str">
        <f>'!план для правки'!B35</f>
        <v>Математический и общий естественнонаучный цикл</v>
      </c>
      <c r="C38" s="356" t="str">
        <f>'!план для правки'!C35</f>
        <v>1/4/0</v>
      </c>
      <c r="D38" s="356">
        <f>'!план для правки'!D35</f>
        <v>164</v>
      </c>
      <c r="E38" s="367">
        <f>'!план для правки'!E35</f>
        <v>0</v>
      </c>
      <c r="F38" s="359">
        <f>'!план для правки'!F35</f>
        <v>152</v>
      </c>
      <c r="G38" s="359">
        <f>'!план для правки'!G35</f>
        <v>152</v>
      </c>
      <c r="H38" s="359">
        <f>'!план для правки'!I35</f>
        <v>0</v>
      </c>
      <c r="I38" s="359">
        <f>'!план для правки'!J35</f>
        <v>0</v>
      </c>
      <c r="J38" s="360"/>
      <c r="K38" s="359">
        <f>'!план для правки'!K35</f>
        <v>2</v>
      </c>
      <c r="L38" s="361">
        <f>'!план для правки'!L35</f>
        <v>10</v>
      </c>
      <c r="M38" s="356">
        <f>'!план для правки'!N35</f>
        <v>0</v>
      </c>
      <c r="N38" s="356">
        <f>'!план для правки'!Y35</f>
        <v>0</v>
      </c>
      <c r="O38" s="356">
        <f>'!план для правки'!AJ35</f>
        <v>84</v>
      </c>
      <c r="P38" s="356">
        <f>'!план для правки'!AU35</f>
        <v>80</v>
      </c>
      <c r="Q38" s="356">
        <f>'!план для правки'!BF35</f>
        <v>0</v>
      </c>
      <c r="R38" s="356">
        <f>'!план для правки'!BQ35</f>
        <v>0</v>
      </c>
      <c r="S38" s="399">
        <f>'!план для правки'!CB35</f>
        <v>0</v>
      </c>
    </row>
    <row r="39" spans="1:19" ht="19.5" customHeight="1" x14ac:dyDescent="0.25">
      <c r="A39" s="377" t="str">
        <f>'!план для правки'!A36</f>
        <v>ЕН.01</v>
      </c>
      <c r="B39" s="392" t="str">
        <f>'!план для правки'!B36</f>
        <v>Элементы высшей математики</v>
      </c>
      <c r="C39" s="348" t="str">
        <f>'!план для правки'!C36</f>
        <v>э</v>
      </c>
      <c r="D39" s="351">
        <f>'!план для правки'!D36</f>
        <v>84</v>
      </c>
      <c r="E39" s="342">
        <f>'!план для правки'!E36</f>
        <v>0</v>
      </c>
      <c r="F39" s="332">
        <f>'!план для правки'!F36</f>
        <v>72</v>
      </c>
      <c r="G39" s="332">
        <f>'!план для правки'!G36</f>
        <v>72</v>
      </c>
      <c r="H39" s="332">
        <f>'!план для правки'!I36</f>
        <v>0</v>
      </c>
      <c r="I39" s="332">
        <f>'!план для правки'!J36</f>
        <v>0</v>
      </c>
      <c r="J39" s="329"/>
      <c r="K39" s="332">
        <f>'!план для правки'!K36</f>
        <v>2</v>
      </c>
      <c r="L39" s="344">
        <f>'!план для правки'!L36</f>
        <v>10</v>
      </c>
      <c r="M39" s="348">
        <f>'!план для правки'!N36</f>
        <v>0</v>
      </c>
      <c r="N39" s="348">
        <f>'!план для правки'!Y36</f>
        <v>0</v>
      </c>
      <c r="O39" s="351">
        <f>'!план для правки'!AJ36</f>
        <v>84</v>
      </c>
      <c r="P39" s="351">
        <f>'!план для правки'!AU36</f>
        <v>0</v>
      </c>
      <c r="Q39" s="348">
        <f>'!план для правки'!BF36</f>
        <v>0</v>
      </c>
      <c r="R39" s="396">
        <f>'!план для правки'!BQ36</f>
        <v>0</v>
      </c>
      <c r="S39" s="390">
        <f>'!план для правки'!CB36</f>
        <v>0</v>
      </c>
    </row>
    <row r="40" spans="1:19" ht="31.5" x14ac:dyDescent="0.25">
      <c r="A40" s="377" t="str">
        <f>'!план для правки'!A37</f>
        <v>ЕН.02</v>
      </c>
      <c r="B40" s="392" t="str">
        <f>'!план для правки'!B37</f>
        <v>Дискретная математика с элементами логики</v>
      </c>
      <c r="C40" s="348" t="str">
        <f>'!план для правки'!C37</f>
        <v>дз</v>
      </c>
      <c r="D40" s="351">
        <f>'!план для правки'!D37</f>
        <v>40</v>
      </c>
      <c r="E40" s="342">
        <f>'!план для правки'!E37</f>
        <v>0</v>
      </c>
      <c r="F40" s="332">
        <f>'!план для правки'!F37</f>
        <v>40</v>
      </c>
      <c r="G40" s="332">
        <f>'!план для правки'!G37</f>
        <v>40</v>
      </c>
      <c r="H40" s="332">
        <f>'!план для правки'!I37</f>
        <v>0</v>
      </c>
      <c r="I40" s="332">
        <f>'!план для правки'!J37</f>
        <v>0</v>
      </c>
      <c r="J40" s="329"/>
      <c r="K40" s="332">
        <f>'!план для правки'!K37</f>
        <v>0</v>
      </c>
      <c r="L40" s="344">
        <f>'!план для правки'!L37</f>
        <v>0</v>
      </c>
      <c r="M40" s="348">
        <f>'!план для правки'!N37</f>
        <v>0</v>
      </c>
      <c r="N40" s="348">
        <f>'!план для правки'!Y37</f>
        <v>0</v>
      </c>
      <c r="O40" s="351">
        <f>'!план для правки'!AJ37</f>
        <v>0</v>
      </c>
      <c r="P40" s="351">
        <f>'!план для правки'!AU37</f>
        <v>40</v>
      </c>
      <c r="Q40" s="348">
        <f>'!план для правки'!BF37</f>
        <v>0</v>
      </c>
      <c r="R40" s="396">
        <f>'!план для правки'!BQ37</f>
        <v>0</v>
      </c>
      <c r="S40" s="348">
        <f>'!план для правки'!CB37</f>
        <v>0</v>
      </c>
    </row>
    <row r="41" spans="1:19" ht="34.5" customHeight="1" x14ac:dyDescent="0.25">
      <c r="A41" s="377" t="str">
        <f>'!план для правки'!A38</f>
        <v>ЕН.03</v>
      </c>
      <c r="B41" s="392" t="str">
        <f>'!план для правки'!B38</f>
        <v>Теория вероятностей и математическая статистика</v>
      </c>
      <c r="C41" s="348" t="str">
        <f>'!план для правки'!C38</f>
        <v>дз</v>
      </c>
      <c r="D41" s="351">
        <f>'!план для правки'!D38</f>
        <v>40</v>
      </c>
      <c r="E41" s="342">
        <f>'!план для правки'!E38</f>
        <v>0</v>
      </c>
      <c r="F41" s="332">
        <f>'!план для правки'!F38</f>
        <v>40</v>
      </c>
      <c r="G41" s="332">
        <f>'!план для правки'!G38</f>
        <v>40</v>
      </c>
      <c r="H41" s="332">
        <f>'!план для правки'!I38</f>
        <v>0</v>
      </c>
      <c r="I41" s="332">
        <f>'!план для правки'!J38</f>
        <v>0</v>
      </c>
      <c r="J41" s="329"/>
      <c r="K41" s="332">
        <f>'!план для правки'!K38</f>
        <v>0</v>
      </c>
      <c r="L41" s="344">
        <f>'!план для правки'!L38</f>
        <v>0</v>
      </c>
      <c r="M41" s="348">
        <f>'!план для правки'!N38</f>
        <v>0</v>
      </c>
      <c r="N41" s="348">
        <f>'!план для правки'!Y38</f>
        <v>0</v>
      </c>
      <c r="O41" s="351">
        <f>'!план для правки'!AJ38</f>
        <v>0</v>
      </c>
      <c r="P41" s="351">
        <f>'!план для правки'!AU38</f>
        <v>40</v>
      </c>
      <c r="Q41" s="348">
        <f>'!план для правки'!BF38</f>
        <v>0</v>
      </c>
      <c r="R41" s="396">
        <f>'!план для правки'!BQ38</f>
        <v>0</v>
      </c>
      <c r="S41" s="348">
        <f>'!план для правки'!CB38</f>
        <v>0</v>
      </c>
    </row>
    <row r="42" spans="1:19" ht="6.75" customHeight="1" thickBot="1" x14ac:dyDescent="0.3">
      <c r="A42" s="378">
        <f>'!план для правки'!A39</f>
        <v>0</v>
      </c>
      <c r="B42" s="393">
        <f>'!план для правки'!B39</f>
        <v>0</v>
      </c>
      <c r="C42" s="371">
        <f>'!план для правки'!C39</f>
        <v>0</v>
      </c>
      <c r="D42" s="380">
        <f>'!план для правки'!D39</f>
        <v>0</v>
      </c>
      <c r="E42" s="381">
        <f>'!план для правки'!E39</f>
        <v>0</v>
      </c>
      <c r="F42" s="382">
        <f>'!план для правки'!F39</f>
        <v>0</v>
      </c>
      <c r="G42" s="382">
        <f>'!план для правки'!G39</f>
        <v>0</v>
      </c>
      <c r="H42" s="382">
        <f>'!план для правки'!I39</f>
        <v>0</v>
      </c>
      <c r="I42" s="382">
        <f>'!план для правки'!J39</f>
        <v>0</v>
      </c>
      <c r="J42" s="383"/>
      <c r="K42" s="382">
        <f>'!план для правки'!K39</f>
        <v>0</v>
      </c>
      <c r="L42" s="384">
        <f>'!план для правки'!L39</f>
        <v>0</v>
      </c>
      <c r="M42" s="371">
        <f>'!план для правки'!N39</f>
        <v>0</v>
      </c>
      <c r="N42" s="371">
        <f>'!план для правки'!Y39</f>
        <v>0</v>
      </c>
      <c r="O42" s="380">
        <f>'!план для правки'!AJ39</f>
        <v>0</v>
      </c>
      <c r="P42" s="380">
        <f>'!план для правки'!AU39</f>
        <v>0</v>
      </c>
      <c r="Q42" s="371">
        <f>'!план для правки'!BF39</f>
        <v>0</v>
      </c>
      <c r="R42" s="397">
        <f>'!план для правки'!BQ39</f>
        <v>0</v>
      </c>
      <c r="S42" s="371">
        <f>'!план для правки'!CB39</f>
        <v>0</v>
      </c>
    </row>
    <row r="43" spans="1:19" s="328" customFormat="1" ht="19.5" customHeight="1" x14ac:dyDescent="0.25">
      <c r="A43" s="375" t="str">
        <f>'!план для правки'!A40</f>
        <v>ОП.00</v>
      </c>
      <c r="B43" s="394" t="str">
        <f>'!план для правки'!B40</f>
        <v>Общепрофессиональный цикл</v>
      </c>
      <c r="C43" s="356" t="str">
        <f>'!план для правки'!C40</f>
        <v>9/4/2</v>
      </c>
      <c r="D43" s="357">
        <f>'!план для правки'!D40</f>
        <v>770</v>
      </c>
      <c r="E43" s="367">
        <f>'!план для правки'!E40</f>
        <v>0</v>
      </c>
      <c r="F43" s="359">
        <f>'!план для правки'!F40</f>
        <v>740</v>
      </c>
      <c r="G43" s="359">
        <f>'!план для правки'!G40</f>
        <v>540</v>
      </c>
      <c r="H43" s="359">
        <f>'!план для правки'!I40</f>
        <v>200</v>
      </c>
      <c r="I43" s="359">
        <f>'!план для правки'!J40</f>
        <v>0</v>
      </c>
      <c r="J43" s="360"/>
      <c r="K43" s="359">
        <f>'!план для правки'!K40</f>
        <v>10</v>
      </c>
      <c r="L43" s="361">
        <f>'!план для правки'!L40</f>
        <v>20</v>
      </c>
      <c r="M43" s="356">
        <f>'!план для правки'!N40</f>
        <v>0</v>
      </c>
      <c r="N43" s="356">
        <f>'!план для правки'!Y40</f>
        <v>0</v>
      </c>
      <c r="O43" s="357">
        <f>'!план для правки'!AJ40</f>
        <v>172</v>
      </c>
      <c r="P43" s="357">
        <f>'!план для правки'!AU40</f>
        <v>318</v>
      </c>
      <c r="Q43" s="356">
        <f>'!план для правки'!BF40</f>
        <v>0</v>
      </c>
      <c r="R43" s="398">
        <f>'!план для правки'!BQ40</f>
        <v>208</v>
      </c>
      <c r="S43" s="356">
        <f>'!план для правки'!CB40</f>
        <v>72</v>
      </c>
    </row>
    <row r="44" spans="1:19" ht="21" customHeight="1" x14ac:dyDescent="0.25">
      <c r="A44" s="377" t="str">
        <f>'!план для правки'!A41</f>
        <v>ОП.01</v>
      </c>
      <c r="B44" s="392" t="str">
        <f>'!план для правки'!B41</f>
        <v>Операционные системы и среды</v>
      </c>
      <c r="C44" s="348" t="str">
        <f>'!план для правки'!C41</f>
        <v>компл.экз</v>
      </c>
      <c r="D44" s="351">
        <f>'!план для правки'!D41</f>
        <v>54</v>
      </c>
      <c r="E44" s="342">
        <f>'!план для правки'!E41</f>
        <v>0</v>
      </c>
      <c r="F44" s="332">
        <f>'!план для правки'!F41</f>
        <v>48</v>
      </c>
      <c r="G44" s="332">
        <f>'!план для правки'!G41</f>
        <v>28</v>
      </c>
      <c r="H44" s="332">
        <f>'!план для правки'!I41</f>
        <v>20</v>
      </c>
      <c r="I44" s="332">
        <f>'!план для правки'!J41</f>
        <v>0</v>
      </c>
      <c r="J44" s="329"/>
      <c r="K44" s="332">
        <f>'!план для правки'!K41</f>
        <v>2</v>
      </c>
      <c r="L44" s="344">
        <f>'!план для правки'!L41</f>
        <v>4</v>
      </c>
      <c r="M44" s="348">
        <f>'!план для правки'!N41</f>
        <v>0</v>
      </c>
      <c r="N44" s="348">
        <f>'!план для правки'!Y41</f>
        <v>0</v>
      </c>
      <c r="O44" s="351">
        <f>'!план для правки'!AJ41</f>
        <v>54</v>
      </c>
      <c r="P44" s="351">
        <f>'!план для правки'!AU41</f>
        <v>0</v>
      </c>
      <c r="Q44" s="348">
        <f>'!план для правки'!BF41</f>
        <v>0</v>
      </c>
      <c r="R44" s="396">
        <f>'!план для правки'!BQ41</f>
        <v>0</v>
      </c>
      <c r="S44" s="348">
        <f>'!план для правки'!CB41</f>
        <v>0</v>
      </c>
    </row>
    <row r="45" spans="1:19" ht="21" customHeight="1" x14ac:dyDescent="0.25">
      <c r="A45" s="377" t="str">
        <f>'!план для правки'!A42</f>
        <v>ОП.02</v>
      </c>
      <c r="B45" s="392" t="str">
        <f>'!план для правки'!B42</f>
        <v>Архитектура аппаратных средств</v>
      </c>
      <c r="C45" s="348">
        <f>'!план для правки'!C42</f>
        <v>0</v>
      </c>
      <c r="D45" s="351">
        <f>'!план для правки'!D42</f>
        <v>43</v>
      </c>
      <c r="E45" s="342">
        <f>'!план для правки'!E42</f>
        <v>0</v>
      </c>
      <c r="F45" s="332">
        <f>'!план для правки'!F42</f>
        <v>37</v>
      </c>
      <c r="G45" s="332">
        <f>'!план для правки'!G42</f>
        <v>21</v>
      </c>
      <c r="H45" s="332">
        <f>'!план для правки'!I42</f>
        <v>16</v>
      </c>
      <c r="I45" s="332">
        <f>'!план для правки'!J42</f>
        <v>0</v>
      </c>
      <c r="J45" s="329"/>
      <c r="K45" s="332">
        <f>'!план для правки'!K42</f>
        <v>2</v>
      </c>
      <c r="L45" s="344">
        <f>'!план для правки'!L42</f>
        <v>4</v>
      </c>
      <c r="M45" s="348">
        <f>'!план для правки'!N42</f>
        <v>0</v>
      </c>
      <c r="N45" s="348">
        <f>'!план для правки'!Y42</f>
        <v>0</v>
      </c>
      <c r="O45" s="351">
        <f>'!план для правки'!AJ42</f>
        <v>43</v>
      </c>
      <c r="P45" s="351">
        <f>'!план для правки'!AU42</f>
        <v>0</v>
      </c>
      <c r="Q45" s="348">
        <f>'!план для правки'!BF42</f>
        <v>0</v>
      </c>
      <c r="R45" s="396">
        <f>'!план для правки'!BQ42</f>
        <v>0</v>
      </c>
      <c r="S45" s="348">
        <f>'!план для правки'!CB42</f>
        <v>0</v>
      </c>
    </row>
    <row r="46" spans="1:19" ht="21" customHeight="1" x14ac:dyDescent="0.25">
      <c r="A46" s="377" t="str">
        <f>'!план для правки'!A43</f>
        <v>ОП.03</v>
      </c>
      <c r="B46" s="392" t="str">
        <f>'!план для правки'!B43</f>
        <v>Информационные технологии</v>
      </c>
      <c r="C46" s="348" t="str">
        <f>'!план для правки'!C43</f>
        <v>дз</v>
      </c>
      <c r="D46" s="351">
        <f>'!план для правки'!D43</f>
        <v>40</v>
      </c>
      <c r="E46" s="342">
        <f>'!план для правки'!E43</f>
        <v>0</v>
      </c>
      <c r="F46" s="332">
        <f>'!план для правки'!F43</f>
        <v>40</v>
      </c>
      <c r="G46" s="332">
        <f>'!план для правки'!G43</f>
        <v>20</v>
      </c>
      <c r="H46" s="332">
        <f>'!план для правки'!I43</f>
        <v>20</v>
      </c>
      <c r="I46" s="332">
        <f>'!план для правки'!J43</f>
        <v>0</v>
      </c>
      <c r="J46" s="329"/>
      <c r="K46" s="332">
        <f>'!план для правки'!K43</f>
        <v>0</v>
      </c>
      <c r="L46" s="344">
        <f>'!план для правки'!L43</f>
        <v>0</v>
      </c>
      <c r="M46" s="348">
        <f>'!план для правки'!N43</f>
        <v>0</v>
      </c>
      <c r="N46" s="348">
        <f>'!план для правки'!Y43</f>
        <v>0</v>
      </c>
      <c r="O46" s="351">
        <f>'!план для правки'!AJ43</f>
        <v>0</v>
      </c>
      <c r="P46" s="351">
        <f>'!план для правки'!AU43</f>
        <v>40</v>
      </c>
      <c r="Q46" s="348">
        <f>'!план для правки'!BF43</f>
        <v>0</v>
      </c>
      <c r="R46" s="396">
        <f>'!план для правки'!BQ43</f>
        <v>0</v>
      </c>
      <c r="S46" s="348">
        <f>'!план для правки'!CB43</f>
        <v>0</v>
      </c>
    </row>
    <row r="47" spans="1:19" ht="31.5" x14ac:dyDescent="0.25">
      <c r="A47" s="377" t="str">
        <f>'!план для правки'!A44</f>
        <v>ОП.04</v>
      </c>
      <c r="B47" s="392" t="str">
        <f>'!план для правки'!B44</f>
        <v>Основы алгоритмизации и программирования</v>
      </c>
      <c r="C47" s="348" t="str">
        <f>'!план для правки'!C44</f>
        <v>дз,э</v>
      </c>
      <c r="D47" s="351">
        <f>'!план для правки'!D44</f>
        <v>164</v>
      </c>
      <c r="E47" s="342">
        <f>'!план для правки'!E44</f>
        <v>0</v>
      </c>
      <c r="F47" s="332">
        <f>'!план для правки'!F44</f>
        <v>155</v>
      </c>
      <c r="G47" s="332">
        <f>'!план для правки'!G44</f>
        <v>85</v>
      </c>
      <c r="H47" s="332">
        <f>'!план для правки'!I44</f>
        <v>70</v>
      </c>
      <c r="I47" s="332">
        <f>'!план для правки'!J44</f>
        <v>0</v>
      </c>
      <c r="J47" s="329"/>
      <c r="K47" s="332">
        <f>'!план для правки'!K44</f>
        <v>3</v>
      </c>
      <c r="L47" s="344">
        <f>'!план для правки'!L44</f>
        <v>6</v>
      </c>
      <c r="M47" s="348">
        <f>'!план для правки'!N44</f>
        <v>0</v>
      </c>
      <c r="N47" s="348">
        <f>'!план для правки'!Y44</f>
        <v>0</v>
      </c>
      <c r="O47" s="351">
        <f>'!план для правки'!AJ44</f>
        <v>75</v>
      </c>
      <c r="P47" s="351">
        <f>'!план для правки'!AU44</f>
        <v>89</v>
      </c>
      <c r="Q47" s="348">
        <f>'!план для правки'!BF44</f>
        <v>0</v>
      </c>
      <c r="R47" s="396">
        <f>'!план для правки'!BQ44</f>
        <v>0</v>
      </c>
      <c r="S47" s="348">
        <f>'!план для правки'!CB44</f>
        <v>0</v>
      </c>
    </row>
    <row r="48" spans="1:19" ht="36" customHeight="1" x14ac:dyDescent="0.25">
      <c r="A48" s="377" t="str">
        <f>'!план для правки'!A45</f>
        <v>ОП.05</v>
      </c>
      <c r="B48" s="392" t="str">
        <f>'!план для правки'!B45</f>
        <v>Правовое обеспечение профессиональной деятельности</v>
      </c>
      <c r="C48" s="348" t="str">
        <f>'!план для правки'!C45</f>
        <v>дз</v>
      </c>
      <c r="D48" s="351">
        <f>'!план для правки'!D45</f>
        <v>36</v>
      </c>
      <c r="E48" s="342">
        <f>'!план для правки'!E45</f>
        <v>0</v>
      </c>
      <c r="F48" s="332">
        <f>'!план для правки'!F45</f>
        <v>36</v>
      </c>
      <c r="G48" s="332">
        <f>'!план для правки'!G45</f>
        <v>36</v>
      </c>
      <c r="H48" s="332">
        <f>'!план для правки'!I45</f>
        <v>0</v>
      </c>
      <c r="I48" s="332">
        <f>'!план для правки'!J45</f>
        <v>0</v>
      </c>
      <c r="J48" s="329"/>
      <c r="K48" s="332">
        <f>'!план для правки'!K45</f>
        <v>0</v>
      </c>
      <c r="L48" s="344">
        <f>'!план для правки'!L45</f>
        <v>0</v>
      </c>
      <c r="M48" s="348">
        <f>'!план для правки'!N45</f>
        <v>0</v>
      </c>
      <c r="N48" s="348">
        <f>'!план для правки'!Y45</f>
        <v>0</v>
      </c>
      <c r="O48" s="351">
        <f>'!план для правки'!AJ45</f>
        <v>0</v>
      </c>
      <c r="P48" s="351">
        <f>'!план для правки'!AU45</f>
        <v>0</v>
      </c>
      <c r="Q48" s="348">
        <f>'!план для правки'!BF45</f>
        <v>0</v>
      </c>
      <c r="R48" s="396">
        <f>'!план для правки'!BQ45</f>
        <v>0</v>
      </c>
      <c r="S48" s="348">
        <f>'!план для правки'!CB45</f>
        <v>36</v>
      </c>
    </row>
    <row r="49" spans="1:19" ht="20.25" customHeight="1" x14ac:dyDescent="0.25">
      <c r="A49" s="377" t="str">
        <f>'!план для правки'!A46</f>
        <v>ОП.06</v>
      </c>
      <c r="B49" s="392" t="str">
        <f>'!план для правки'!B46</f>
        <v>Безопасность жизнедеятельности</v>
      </c>
      <c r="C49" s="348" t="str">
        <f>'!план для правки'!C46</f>
        <v>дз</v>
      </c>
      <c r="D49" s="351">
        <f>'!план для правки'!D46</f>
        <v>68</v>
      </c>
      <c r="E49" s="342">
        <f>'!план для правки'!E46</f>
        <v>0</v>
      </c>
      <c r="F49" s="332">
        <f>'!план для правки'!F46</f>
        <v>68</v>
      </c>
      <c r="G49" s="332">
        <f>'!план для правки'!G46</f>
        <v>68</v>
      </c>
      <c r="H49" s="332">
        <f>'!план для правки'!I46</f>
        <v>0</v>
      </c>
      <c r="I49" s="332">
        <f>'!план для правки'!J46</f>
        <v>0</v>
      </c>
      <c r="J49" s="329"/>
      <c r="K49" s="332">
        <f>'!план для правки'!K46</f>
        <v>0</v>
      </c>
      <c r="L49" s="344">
        <f>'!план для правки'!L46</f>
        <v>0</v>
      </c>
      <c r="M49" s="348">
        <f>'!план для правки'!N46</f>
        <v>0</v>
      </c>
      <c r="N49" s="348">
        <f>'!план для правки'!Y46</f>
        <v>0</v>
      </c>
      <c r="O49" s="351">
        <f>'!план для правки'!AJ46</f>
        <v>0</v>
      </c>
      <c r="P49" s="351">
        <f>'!план для правки'!AU46</f>
        <v>0</v>
      </c>
      <c r="Q49" s="348">
        <f>'!план для правки'!BF46</f>
        <v>0</v>
      </c>
      <c r="R49" s="396">
        <f>'!план для правки'!BQ46</f>
        <v>68</v>
      </c>
      <c r="S49" s="348">
        <f>'!план для правки'!CB46</f>
        <v>0</v>
      </c>
    </row>
    <row r="50" spans="1:19" x14ac:dyDescent="0.25">
      <c r="A50" s="377" t="str">
        <f>'!план для правки'!A47</f>
        <v>ОП.07</v>
      </c>
      <c r="B50" s="392" t="str">
        <f>'!план для правки'!B47</f>
        <v>Экономика отрасли</v>
      </c>
      <c r="C50" s="348" t="str">
        <f>'!план для правки'!C47</f>
        <v>дз</v>
      </c>
      <c r="D50" s="351">
        <f>'!план для правки'!D47</f>
        <v>40</v>
      </c>
      <c r="E50" s="342">
        <f>'!план для правки'!E47</f>
        <v>0</v>
      </c>
      <c r="F50" s="332">
        <f>'!план для правки'!F47</f>
        <v>40</v>
      </c>
      <c r="G50" s="332">
        <f>'!план для правки'!G47</f>
        <v>30</v>
      </c>
      <c r="H50" s="332">
        <f>'!план для правки'!I47</f>
        <v>10</v>
      </c>
      <c r="I50" s="332">
        <f>'!план для правки'!J47</f>
        <v>0</v>
      </c>
      <c r="J50" s="329"/>
      <c r="K50" s="332">
        <f>'!план для правки'!K47</f>
        <v>0</v>
      </c>
      <c r="L50" s="344">
        <f>'!план для правки'!L47</f>
        <v>0</v>
      </c>
      <c r="M50" s="348">
        <f>'!план для правки'!N47</f>
        <v>0</v>
      </c>
      <c r="N50" s="348">
        <f>'!план для правки'!Y47</f>
        <v>0</v>
      </c>
      <c r="O50" s="351">
        <f>'!план для правки'!AJ47</f>
        <v>0</v>
      </c>
      <c r="P50" s="351">
        <f>'!план для правки'!AU47</f>
        <v>40</v>
      </c>
      <c r="Q50" s="348">
        <f>'!план для правки'!BF47</f>
        <v>0</v>
      </c>
      <c r="R50" s="396">
        <f>'!план для правки'!BQ47</f>
        <v>0</v>
      </c>
      <c r="S50" s="348">
        <f>'!план для правки'!CB47</f>
        <v>0</v>
      </c>
    </row>
    <row r="51" spans="1:19" ht="31.5" x14ac:dyDescent="0.25">
      <c r="A51" s="377" t="str">
        <f>'!план для правки'!A48</f>
        <v>ОП.08</v>
      </c>
      <c r="B51" s="392" t="str">
        <f>'!план для правки'!B48</f>
        <v>Основы проектирования баз данных</v>
      </c>
      <c r="C51" s="348" t="str">
        <f>'!план для правки'!C48</f>
        <v>э</v>
      </c>
      <c r="D51" s="351">
        <f>'!план для правки'!D48</f>
        <v>89</v>
      </c>
      <c r="E51" s="342">
        <f>'!план для правки'!E48</f>
        <v>0</v>
      </c>
      <c r="F51" s="332">
        <f>'!план для правки'!F48</f>
        <v>80</v>
      </c>
      <c r="G51" s="332">
        <f>'!план для правки'!G48</f>
        <v>50</v>
      </c>
      <c r="H51" s="332">
        <f>'!план для правки'!I48</f>
        <v>30</v>
      </c>
      <c r="I51" s="332">
        <f>'!план для правки'!J48</f>
        <v>0</v>
      </c>
      <c r="J51" s="329"/>
      <c r="K51" s="332">
        <f>'!план для правки'!K48</f>
        <v>3</v>
      </c>
      <c r="L51" s="344">
        <f>'!план для правки'!L48</f>
        <v>6</v>
      </c>
      <c r="M51" s="348">
        <f>'!план для правки'!N48</f>
        <v>0</v>
      </c>
      <c r="N51" s="348">
        <f>'!план для правки'!Y48</f>
        <v>0</v>
      </c>
      <c r="O51" s="351">
        <f>'!план для правки'!AJ48</f>
        <v>0</v>
      </c>
      <c r="P51" s="351">
        <f>'!план для правки'!AU48</f>
        <v>89</v>
      </c>
      <c r="Q51" s="348">
        <f>'!план для правки'!BF48</f>
        <v>0</v>
      </c>
      <c r="R51" s="396">
        <f>'!план для правки'!BQ48</f>
        <v>0</v>
      </c>
      <c r="S51" s="415">
        <f>'!план для правки'!CB48</f>
        <v>0</v>
      </c>
    </row>
    <row r="52" spans="1:19" ht="33" customHeight="1" x14ac:dyDescent="0.25">
      <c r="A52" s="377" t="str">
        <f>'!план для правки'!A49</f>
        <v>ОП.09</v>
      </c>
      <c r="B52" s="392" t="str">
        <f>'!план для правки'!B49</f>
        <v>Стандартизация, сертификация и техническое документоведение</v>
      </c>
      <c r="C52" s="348" t="str">
        <f>'!план для правки'!C49</f>
        <v>дз</v>
      </c>
      <c r="D52" s="351">
        <f>'!план для правки'!D49</f>
        <v>36</v>
      </c>
      <c r="E52" s="342">
        <f>'!план для правки'!E49</f>
        <v>0</v>
      </c>
      <c r="F52" s="332">
        <f>'!план для правки'!F49</f>
        <v>36</v>
      </c>
      <c r="G52" s="332">
        <f>'!план для правки'!G49</f>
        <v>22</v>
      </c>
      <c r="H52" s="332">
        <f>'!план для правки'!I49</f>
        <v>14</v>
      </c>
      <c r="I52" s="332">
        <f>'!план для правки'!J49</f>
        <v>0</v>
      </c>
      <c r="J52" s="329"/>
      <c r="K52" s="332">
        <f>'!план для правки'!K49</f>
        <v>0</v>
      </c>
      <c r="L52" s="344">
        <f>'!план для правки'!L49</f>
        <v>0</v>
      </c>
      <c r="M52" s="348">
        <f>'!план для правки'!N49</f>
        <v>0</v>
      </c>
      <c r="N52" s="348">
        <f>'!план для правки'!Y49</f>
        <v>0</v>
      </c>
      <c r="O52" s="348">
        <f>'!план для правки'!AJ49</f>
        <v>0</v>
      </c>
      <c r="P52" s="351">
        <f>'!план для правки'!AU49</f>
        <v>0</v>
      </c>
      <c r="Q52" s="348">
        <f>'!план для правки'!BF49</f>
        <v>0</v>
      </c>
      <c r="R52" s="348">
        <f>'!план для правки'!BQ49</f>
        <v>0</v>
      </c>
      <c r="S52" s="348">
        <f>'!план для правки'!CB49</f>
        <v>36</v>
      </c>
    </row>
    <row r="53" spans="1:19" x14ac:dyDescent="0.25">
      <c r="A53" s="377" t="str">
        <f>'!план для правки'!A50</f>
        <v>ОП.10</v>
      </c>
      <c r="B53" s="392" t="str">
        <f>'!план для правки'!B50</f>
        <v>Численные методы</v>
      </c>
      <c r="C53" s="348" t="str">
        <f>'!план для правки'!C50</f>
        <v>дз</v>
      </c>
      <c r="D53" s="348">
        <f>'!план для правки'!D50</f>
        <v>54</v>
      </c>
      <c r="E53" s="342">
        <f>'!план для правки'!E50</f>
        <v>0</v>
      </c>
      <c r="F53" s="332">
        <f>'!план для правки'!F50</f>
        <v>54</v>
      </c>
      <c r="G53" s="332">
        <f>'!план для правки'!G50</f>
        <v>54</v>
      </c>
      <c r="H53" s="332">
        <f>'!план для правки'!I50</f>
        <v>0</v>
      </c>
      <c r="I53" s="332">
        <f>'!план для правки'!J50</f>
        <v>0</v>
      </c>
      <c r="J53" s="329"/>
      <c r="K53" s="332">
        <f>'!план для правки'!K50</f>
        <v>0</v>
      </c>
      <c r="L53" s="344">
        <f>'!план для правки'!L50</f>
        <v>0</v>
      </c>
      <c r="M53" s="348">
        <f>'!план для правки'!N50</f>
        <v>0</v>
      </c>
      <c r="N53" s="348">
        <f>'!план для правки'!Y50</f>
        <v>0</v>
      </c>
      <c r="O53" s="348">
        <f>'!план для правки'!AJ50</f>
        <v>0</v>
      </c>
      <c r="P53" s="348">
        <f>'!план для правки'!AU50</f>
        <v>0</v>
      </c>
      <c r="Q53" s="348">
        <f>'!план для правки'!BF50</f>
        <v>0</v>
      </c>
      <c r="R53" s="348">
        <f>'!план для правки'!BQ50</f>
        <v>54</v>
      </c>
      <c r="S53" s="348">
        <f>'!план для правки'!CB50</f>
        <v>0</v>
      </c>
    </row>
    <row r="54" spans="1:19" x14ac:dyDescent="0.25">
      <c r="A54" s="377" t="str">
        <f>'!план для правки'!A51</f>
        <v>ОП.11</v>
      </c>
      <c r="B54" s="392" t="str">
        <f>'!план для правки'!B51</f>
        <v>Компьютерные сети</v>
      </c>
      <c r="C54" s="348" t="str">
        <f>'!план для правки'!C51</f>
        <v>дз</v>
      </c>
      <c r="D54" s="348">
        <f>'!план для правки'!D51</f>
        <v>60</v>
      </c>
      <c r="E54" s="342">
        <f>'!план для правки'!E51</f>
        <v>0</v>
      </c>
      <c r="F54" s="332">
        <f>'!план для правки'!F51</f>
        <v>60</v>
      </c>
      <c r="G54" s="332">
        <f>'!план для правки'!G51</f>
        <v>40</v>
      </c>
      <c r="H54" s="332">
        <f>'!план для правки'!I51</f>
        <v>20</v>
      </c>
      <c r="I54" s="332">
        <f>'!план для правки'!J51</f>
        <v>0</v>
      </c>
      <c r="J54" s="329"/>
      <c r="K54" s="332">
        <f>'!план для правки'!K51</f>
        <v>0</v>
      </c>
      <c r="L54" s="344">
        <f>'!план для правки'!L51</f>
        <v>0</v>
      </c>
      <c r="M54" s="348">
        <f>'!план для правки'!N51</f>
        <v>0</v>
      </c>
      <c r="N54" s="348">
        <f>'!план для правки'!Y51</f>
        <v>0</v>
      </c>
      <c r="O54" s="348">
        <f>'!план для правки'!AJ51</f>
        <v>0</v>
      </c>
      <c r="P54" s="348">
        <f>'!план для правки'!AU51</f>
        <v>60</v>
      </c>
      <c r="Q54" s="348">
        <f>'!план для правки'!BF51</f>
        <v>0</v>
      </c>
      <c r="R54" s="348">
        <f>'!план для правки'!BQ51</f>
        <v>0</v>
      </c>
      <c r="S54" s="348">
        <f>'!план для правки'!CB51</f>
        <v>0</v>
      </c>
    </row>
    <row r="55" spans="1:19" ht="32.25" customHeight="1" x14ac:dyDescent="0.25">
      <c r="A55" s="377" t="str">
        <f>'!план для правки'!A52</f>
        <v>ОП.12</v>
      </c>
      <c r="B55" s="392" t="str">
        <f>'!план для правки'!B52</f>
        <v>Менеджмент в профессиональной деятельности</v>
      </c>
      <c r="C55" s="348" t="str">
        <f>'!план для правки'!C52</f>
        <v>дз</v>
      </c>
      <c r="D55" s="348">
        <f>'!план для правки'!D52</f>
        <v>36</v>
      </c>
      <c r="E55" s="342">
        <f>'!план для правки'!E52</f>
        <v>0</v>
      </c>
      <c r="F55" s="332">
        <f>'!план для правки'!F52</f>
        <v>36</v>
      </c>
      <c r="G55" s="332">
        <f>'!план для правки'!G52</f>
        <v>36</v>
      </c>
      <c r="H55" s="332">
        <f>'!план для правки'!I52</f>
        <v>0</v>
      </c>
      <c r="I55" s="332">
        <f>'!план для правки'!J52</f>
        <v>0</v>
      </c>
      <c r="J55" s="329"/>
      <c r="K55" s="332">
        <f>'!план для правки'!K52</f>
        <v>0</v>
      </c>
      <c r="L55" s="344">
        <f>'!план для правки'!L52</f>
        <v>0</v>
      </c>
      <c r="M55" s="348">
        <f>'!план для правки'!N52</f>
        <v>0</v>
      </c>
      <c r="N55" s="348">
        <f>'!план для правки'!Y52</f>
        <v>0</v>
      </c>
      <c r="O55" s="348">
        <f>'!план для правки'!AJ52</f>
        <v>0</v>
      </c>
      <c r="P55" s="348">
        <f>'!план для правки'!AU52</f>
        <v>0</v>
      </c>
      <c r="Q55" s="348">
        <f>'!план для правки'!BF52</f>
        <v>0</v>
      </c>
      <c r="R55" s="348">
        <f>'!план для правки'!BQ52</f>
        <v>36</v>
      </c>
      <c r="S55" s="348">
        <f>'!план для правки'!CB52</f>
        <v>0</v>
      </c>
    </row>
    <row r="56" spans="1:19" ht="18" customHeight="1" x14ac:dyDescent="0.25">
      <c r="A56" s="377" t="str">
        <f>'!план для правки'!A53</f>
        <v>ОП.В.13</v>
      </c>
      <c r="B56" s="392" t="str">
        <f>'!план для правки'!B53</f>
        <v>Основы предпринимательства</v>
      </c>
      <c r="C56" s="348" t="str">
        <f>'!план для правки'!C53</f>
        <v>дз</v>
      </c>
      <c r="D56" s="348">
        <f>'!план для правки'!D53</f>
        <v>50</v>
      </c>
      <c r="E56" s="342">
        <f>'!план для правки'!E53</f>
        <v>0</v>
      </c>
      <c r="F56" s="332">
        <f>'!план для правки'!F53</f>
        <v>50</v>
      </c>
      <c r="G56" s="332">
        <f>'!план для правки'!G53</f>
        <v>50</v>
      </c>
      <c r="H56" s="332">
        <f>'!план для правки'!I53</f>
        <v>0</v>
      </c>
      <c r="I56" s="332">
        <f>'!план для правки'!J53</f>
        <v>0</v>
      </c>
      <c r="J56" s="329"/>
      <c r="K56" s="332">
        <f>'!план для правки'!K53</f>
        <v>0</v>
      </c>
      <c r="L56" s="344">
        <f>'!план для правки'!L53</f>
        <v>0</v>
      </c>
      <c r="M56" s="348">
        <f>'!план для правки'!N53</f>
        <v>0</v>
      </c>
      <c r="N56" s="348">
        <f>'!план для правки'!Y53</f>
        <v>0</v>
      </c>
      <c r="O56" s="348">
        <f>'!план для правки'!AJ53</f>
        <v>0</v>
      </c>
      <c r="P56" s="348">
        <f>'!план для правки'!AU53</f>
        <v>0</v>
      </c>
      <c r="Q56" s="348">
        <f>'!план для правки'!BF53</f>
        <v>0</v>
      </c>
      <c r="R56" s="348">
        <f>'!план для правки'!BQ53</f>
        <v>50</v>
      </c>
      <c r="S56" s="348">
        <f>'!план для правки'!CB53</f>
        <v>0</v>
      </c>
    </row>
    <row r="57" spans="1:19" ht="12" customHeight="1" thickBot="1" x14ac:dyDescent="0.3">
      <c r="A57" s="378">
        <f>'!план для правки'!A54</f>
        <v>0</v>
      </c>
      <c r="B57" s="393">
        <f>'!план для правки'!B54</f>
        <v>0</v>
      </c>
      <c r="C57" s="371">
        <f>'!план для правки'!C54</f>
        <v>0</v>
      </c>
      <c r="D57" s="371">
        <f>'!план для правки'!D54</f>
        <v>0</v>
      </c>
      <c r="E57" s="381">
        <f>'!план для правки'!E54</f>
        <v>0</v>
      </c>
      <c r="F57" s="382">
        <f>'!план для правки'!F54</f>
        <v>0</v>
      </c>
      <c r="G57" s="382">
        <f>'!план для правки'!G54</f>
        <v>0</v>
      </c>
      <c r="H57" s="382">
        <f>'!план для правки'!I54</f>
        <v>0</v>
      </c>
      <c r="I57" s="382">
        <f>'!план для правки'!J54</f>
        <v>0</v>
      </c>
      <c r="J57" s="383"/>
      <c r="K57" s="382">
        <f>'!план для правки'!K54</f>
        <v>0</v>
      </c>
      <c r="L57" s="384">
        <f>'!план для правки'!L54</f>
        <v>0</v>
      </c>
      <c r="M57" s="371">
        <f>'!план для правки'!N54</f>
        <v>0</v>
      </c>
      <c r="N57" s="371">
        <f>'!план для правки'!Y54</f>
        <v>0</v>
      </c>
      <c r="O57" s="371">
        <f>'!план для правки'!AJ54</f>
        <v>0</v>
      </c>
      <c r="P57" s="371">
        <f>'!план для правки'!AU54</f>
        <v>0</v>
      </c>
      <c r="Q57" s="371">
        <f>'!план для правки'!BF54</f>
        <v>0</v>
      </c>
      <c r="R57" s="371">
        <f>'!план для правки'!BQ54</f>
        <v>0</v>
      </c>
      <c r="S57" s="371">
        <f>'!план для правки'!CB54</f>
        <v>0</v>
      </c>
    </row>
    <row r="58" spans="1:19" s="328" customFormat="1" ht="22.5" customHeight="1" x14ac:dyDescent="0.25">
      <c r="A58" s="375" t="str">
        <f>'!план для правки'!A55</f>
        <v>ПМ.00</v>
      </c>
      <c r="B58" s="394" t="str">
        <f>'!план для правки'!B55</f>
        <v>Профессиональный цикл</v>
      </c>
      <c r="C58" s="356">
        <f>'!план для правки'!C55</f>
        <v>0</v>
      </c>
      <c r="D58" s="356">
        <f>'!план для правки'!D55</f>
        <v>2638</v>
      </c>
      <c r="E58" s="367">
        <f>'!план для правки'!E55</f>
        <v>0</v>
      </c>
      <c r="F58" s="359">
        <f>'!план для правки'!F55</f>
        <v>2500</v>
      </c>
      <c r="G58" s="359">
        <f>'!план для правки'!G55</f>
        <v>1134</v>
      </c>
      <c r="H58" s="359">
        <f>'!план для правки'!I55</f>
        <v>1294</v>
      </c>
      <c r="I58" s="359">
        <f>'!план для правки'!J55</f>
        <v>60</v>
      </c>
      <c r="J58" s="360"/>
      <c r="K58" s="359">
        <f>'!план для правки'!K55</f>
        <v>48</v>
      </c>
      <c r="L58" s="361">
        <f>'!план для правки'!L55</f>
        <v>90</v>
      </c>
      <c r="M58" s="356">
        <f>'!план для правки'!N55</f>
        <v>0</v>
      </c>
      <c r="N58" s="356">
        <f>'!план для правки'!Y55</f>
        <v>0</v>
      </c>
      <c r="O58" s="356">
        <f>'!план для правки'!AJ55</f>
        <v>236</v>
      </c>
      <c r="P58" s="356">
        <f>'!план для правки'!AU55</f>
        <v>346</v>
      </c>
      <c r="Q58" s="356">
        <f>'!план для правки'!BF55</f>
        <v>564</v>
      </c>
      <c r="R58" s="356">
        <f>'!план для правки'!BQ55</f>
        <v>616</v>
      </c>
      <c r="S58" s="356">
        <f>'!план для правки'!CB55</f>
        <v>876</v>
      </c>
    </row>
    <row r="59" spans="1:19" ht="12" customHeight="1" thickBot="1" x14ac:dyDescent="0.3">
      <c r="A59" s="410">
        <f>'!план для правки'!A56</f>
        <v>0</v>
      </c>
      <c r="B59" s="407">
        <f>'!план для правки'!B56</f>
        <v>0</v>
      </c>
      <c r="C59" s="415">
        <f>'!план для правки'!C56</f>
        <v>0</v>
      </c>
      <c r="D59" s="415">
        <f>'!план для правки'!D56</f>
        <v>0</v>
      </c>
      <c r="E59" s="404">
        <f>'!план для правки'!E56</f>
        <v>0</v>
      </c>
      <c r="F59" s="333">
        <f>'!план для правки'!F56</f>
        <v>0</v>
      </c>
      <c r="G59" s="333">
        <f>'!план для правки'!G56</f>
        <v>0</v>
      </c>
      <c r="H59" s="333">
        <f>'!план для правки'!I56</f>
        <v>0</v>
      </c>
      <c r="I59" s="333">
        <f>'!план для правки'!J56</f>
        <v>0</v>
      </c>
      <c r="J59" s="400"/>
      <c r="K59" s="333">
        <f>'!план для правки'!K56</f>
        <v>0</v>
      </c>
      <c r="L59" s="413">
        <f>'!план для правки'!L56</f>
        <v>0</v>
      </c>
      <c r="M59" s="415">
        <f>'!план для правки'!N56</f>
        <v>0</v>
      </c>
      <c r="N59" s="415">
        <f>'!план для правки'!Y56</f>
        <v>0</v>
      </c>
      <c r="O59" s="415">
        <f>'!план для правки'!AJ56</f>
        <v>0</v>
      </c>
      <c r="P59" s="415">
        <f>'!план для правки'!AU56</f>
        <v>0</v>
      </c>
      <c r="Q59" s="415">
        <f>'!план для правки'!BF56</f>
        <v>0</v>
      </c>
      <c r="R59" s="415">
        <f>'!план для правки'!BQ56</f>
        <v>0</v>
      </c>
      <c r="S59" s="415">
        <f>'!план для правки'!CB56</f>
        <v>0</v>
      </c>
    </row>
    <row r="60" spans="1:19" s="328" customFormat="1" ht="48" thickBot="1" x14ac:dyDescent="0.3">
      <c r="A60" s="411" t="str">
        <f>'!план для правки'!A57</f>
        <v>ПМ.02</v>
      </c>
      <c r="B60" s="408" t="str">
        <f>'!план для правки'!B57</f>
        <v>ПМ02 Осуществление интеграции программных модулей</v>
      </c>
      <c r="C60" s="416" t="str">
        <f>'!план для правки'!C57</f>
        <v>кэ</v>
      </c>
      <c r="D60" s="416">
        <f>'!план для правки'!D57</f>
        <v>489</v>
      </c>
      <c r="E60" s="405">
        <f>'!план для правки'!E57</f>
        <v>0</v>
      </c>
      <c r="F60" s="402">
        <f>'!план для правки'!F57</f>
        <v>459</v>
      </c>
      <c r="G60" s="402">
        <f>'!план для правки'!G57</f>
        <v>185</v>
      </c>
      <c r="H60" s="402">
        <f>'!план для правки'!I57</f>
        <v>274</v>
      </c>
      <c r="I60" s="402">
        <f>'!план для правки'!J57</f>
        <v>0</v>
      </c>
      <c r="J60" s="402">
        <f>F64+F65</f>
        <v>144</v>
      </c>
      <c r="K60" s="402">
        <f>'!план для правки'!K57</f>
        <v>10</v>
      </c>
      <c r="L60" s="403">
        <f>'!план для правки'!L57</f>
        <v>20</v>
      </c>
      <c r="M60" s="416">
        <f>'!план для правки'!N57</f>
        <v>0</v>
      </c>
      <c r="N60" s="416">
        <f>'!план для правки'!Y57</f>
        <v>0</v>
      </c>
      <c r="O60" s="416">
        <f>'!план для правки'!AJ57</f>
        <v>183</v>
      </c>
      <c r="P60" s="416">
        <f>'!план для правки'!AU57</f>
        <v>306</v>
      </c>
      <c r="Q60" s="416">
        <f>'!план для правки'!BF57</f>
        <v>0</v>
      </c>
      <c r="R60" s="416">
        <f>'!план для правки'!BQ57</f>
        <v>0</v>
      </c>
      <c r="S60" s="416">
        <f>'!план для правки'!CB57</f>
        <v>0</v>
      </c>
    </row>
    <row r="61" spans="1:19" ht="33" customHeight="1" x14ac:dyDescent="0.25">
      <c r="A61" s="412" t="str">
        <f>'!план для правки'!A58</f>
        <v>МДК.02.01</v>
      </c>
      <c r="B61" s="409" t="str">
        <f>'!план для правки'!B58</f>
        <v>Технология разработки программного обеспечения</v>
      </c>
      <c r="C61" s="417" t="str">
        <f>'!план для правки'!C58</f>
        <v>э</v>
      </c>
      <c r="D61" s="417">
        <f>'!план для правки'!D58</f>
        <v>72</v>
      </c>
      <c r="E61" s="386">
        <f>'!план для правки'!E58</f>
        <v>0</v>
      </c>
      <c r="F61" s="369">
        <f>'!план для правки'!F58</f>
        <v>60</v>
      </c>
      <c r="G61" s="369">
        <f>'!план для правки'!G58</f>
        <v>30</v>
      </c>
      <c r="H61" s="369">
        <f>'!план для правки'!I58</f>
        <v>30</v>
      </c>
      <c r="I61" s="369">
        <f>'!план для правки'!J58</f>
        <v>0</v>
      </c>
      <c r="J61" s="391"/>
      <c r="K61" s="369">
        <f>'!план для правки'!K58</f>
        <v>2</v>
      </c>
      <c r="L61" s="414">
        <f>'!план для правки'!L58</f>
        <v>10</v>
      </c>
      <c r="M61" s="417">
        <f>'!план для правки'!N58</f>
        <v>0</v>
      </c>
      <c r="N61" s="417">
        <f>'!план для правки'!Y58</f>
        <v>0</v>
      </c>
      <c r="O61" s="417">
        <f>'!план для правки'!AJ58</f>
        <v>72</v>
      </c>
      <c r="P61" s="417">
        <f>'!план для правки'!AU58</f>
        <v>0</v>
      </c>
      <c r="Q61" s="417">
        <f>'!план для правки'!BF58</f>
        <v>0</v>
      </c>
      <c r="R61" s="417">
        <f>'!план для правки'!BQ58</f>
        <v>0</v>
      </c>
      <c r="S61" s="417">
        <f>'!план для правки'!CB58</f>
        <v>0</v>
      </c>
    </row>
    <row r="62" spans="1:19" ht="48" customHeight="1" x14ac:dyDescent="0.25">
      <c r="A62" s="377" t="str">
        <f>'!план для правки'!A59</f>
        <v>МДК.02.02</v>
      </c>
      <c r="B62" s="392" t="str">
        <f>'!план для правки'!B59</f>
        <v>Инструментальные средства разработки программного обеспечения</v>
      </c>
      <c r="C62" s="348" t="str">
        <f>'!план для правки'!C59</f>
        <v>э</v>
      </c>
      <c r="D62" s="348">
        <f>'!план для правки'!D59</f>
        <v>228</v>
      </c>
      <c r="E62" s="342">
        <f>'!план для правки'!E59</f>
        <v>0</v>
      </c>
      <c r="F62" s="332">
        <f>'!план для правки'!F59</f>
        <v>223</v>
      </c>
      <c r="G62" s="332">
        <f>'!план для правки'!G59</f>
        <v>123</v>
      </c>
      <c r="H62" s="332">
        <f>'!план для правки'!I59</f>
        <v>100</v>
      </c>
      <c r="I62" s="332">
        <f>'!план для правки'!J59</f>
        <v>0</v>
      </c>
      <c r="J62" s="329"/>
      <c r="K62" s="332">
        <f>'!план для правки'!K59</f>
        <v>2</v>
      </c>
      <c r="L62" s="344">
        <f>'!план для правки'!L59</f>
        <v>3</v>
      </c>
      <c r="M62" s="348">
        <f>'!план для правки'!N59</f>
        <v>0</v>
      </c>
      <c r="N62" s="348">
        <f>'!план для правки'!Y59</f>
        <v>0</v>
      </c>
      <c r="O62" s="348">
        <f>'!план для правки'!AJ59</f>
        <v>75</v>
      </c>
      <c r="P62" s="348">
        <f>'!план для правки'!AU59</f>
        <v>153</v>
      </c>
      <c r="Q62" s="348">
        <f>'!план для правки'!BF59</f>
        <v>0</v>
      </c>
      <c r="R62" s="348">
        <f>'!план для правки'!BQ59</f>
        <v>0</v>
      </c>
      <c r="S62" s="348">
        <f>'!план для правки'!CB59</f>
        <v>0</v>
      </c>
    </row>
    <row r="63" spans="1:19" ht="22.5" customHeight="1" x14ac:dyDescent="0.25">
      <c r="A63" s="377" t="str">
        <f>'!план для правки'!A60</f>
        <v>МДК.02.03</v>
      </c>
      <c r="B63" s="392" t="str">
        <f>'!план для правки'!B60</f>
        <v>Математическое моделирование</v>
      </c>
      <c r="C63" s="348">
        <f>'!план для правки'!C60</f>
        <v>0</v>
      </c>
      <c r="D63" s="348">
        <f>'!план для правки'!D60</f>
        <v>37</v>
      </c>
      <c r="E63" s="342">
        <f>'!план для правки'!E60</f>
        <v>0</v>
      </c>
      <c r="F63" s="332">
        <f>'!план для правки'!F60</f>
        <v>32</v>
      </c>
      <c r="G63" s="332">
        <f>'!план для правки'!G60</f>
        <v>32</v>
      </c>
      <c r="H63" s="332">
        <f>'!план для правки'!I60</f>
        <v>0</v>
      </c>
      <c r="I63" s="332">
        <f>'!план для правки'!J60</f>
        <v>0</v>
      </c>
      <c r="J63" s="329"/>
      <c r="K63" s="332">
        <f>'!план для правки'!K60</f>
        <v>2</v>
      </c>
      <c r="L63" s="344">
        <f>'!план для правки'!L60</f>
        <v>3</v>
      </c>
      <c r="M63" s="348">
        <f>'!план для правки'!N60</f>
        <v>0</v>
      </c>
      <c r="N63" s="348">
        <f>'!план для правки'!Y60</f>
        <v>0</v>
      </c>
      <c r="O63" s="348">
        <f>'!план для правки'!AJ60</f>
        <v>0</v>
      </c>
      <c r="P63" s="348">
        <f>'!план для правки'!AU60</f>
        <v>37</v>
      </c>
      <c r="Q63" s="348">
        <f>'!план для правки'!BF60</f>
        <v>0</v>
      </c>
      <c r="R63" s="348">
        <f>'!план для правки'!BQ60</f>
        <v>0</v>
      </c>
      <c r="S63" s="348">
        <f>'!план для правки'!CB60</f>
        <v>0</v>
      </c>
    </row>
    <row r="64" spans="1:19" ht="31.5" x14ac:dyDescent="0.25">
      <c r="A64" s="377" t="str">
        <f>'!план для правки'!A61</f>
        <v>УП.02</v>
      </c>
      <c r="B64" s="392" t="str">
        <f>'!план для правки'!B61</f>
        <v>Учебная практика</v>
      </c>
      <c r="C64" s="348" t="str">
        <f>'!план для правки'!C61</f>
        <v>дз,дз,дз,дз</v>
      </c>
      <c r="D64" s="348">
        <f>'!план для правки'!D61</f>
        <v>144</v>
      </c>
      <c r="E64" s="342">
        <f>'!план для правки'!E61</f>
        <v>0</v>
      </c>
      <c r="F64" s="332">
        <f>'!план для правки'!F61</f>
        <v>144</v>
      </c>
      <c r="G64" s="332">
        <f>'!план для правки'!G61</f>
        <v>0</v>
      </c>
      <c r="H64" s="332">
        <f>'!план для правки'!I61</f>
        <v>144</v>
      </c>
      <c r="I64" s="332">
        <f>'!план для правки'!J61</f>
        <v>0</v>
      </c>
      <c r="J64" s="329"/>
      <c r="K64" s="332">
        <f>'!план для правки'!K61</f>
        <v>0</v>
      </c>
      <c r="L64" s="344">
        <f>'!план для правки'!L61</f>
        <v>0</v>
      </c>
      <c r="M64" s="348">
        <f>'!план для правки'!N61</f>
        <v>0</v>
      </c>
      <c r="N64" s="348">
        <f>'!план для правки'!Y61</f>
        <v>0</v>
      </c>
      <c r="O64" s="348">
        <f>'!план для правки'!AJ61</f>
        <v>36</v>
      </c>
      <c r="P64" s="348">
        <f>'!план для правки'!AU61</f>
        <v>108</v>
      </c>
      <c r="Q64" s="348">
        <f>'!план для правки'!BF61</f>
        <v>0</v>
      </c>
      <c r="R64" s="348">
        <f>'!план для правки'!BQ61</f>
        <v>0</v>
      </c>
      <c r="S64" s="348">
        <f>'!план для правки'!CB61</f>
        <v>0</v>
      </c>
    </row>
    <row r="65" spans="1:19" ht="19.5" customHeight="1" x14ac:dyDescent="0.25">
      <c r="A65" s="377" t="str">
        <f>'!план для правки'!A62</f>
        <v>ПП.02</v>
      </c>
      <c r="B65" s="392" t="str">
        <f>'!план для правки'!B62</f>
        <v>Производственная практика</v>
      </c>
      <c r="C65" s="348">
        <f>'!план для правки'!C62</f>
        <v>0</v>
      </c>
      <c r="D65" s="348">
        <f>'!план для правки'!D62</f>
        <v>0</v>
      </c>
      <c r="E65" s="342">
        <f>'!план для правки'!E62</f>
        <v>0</v>
      </c>
      <c r="F65" s="332">
        <f>'!план для правки'!F62</f>
        <v>0</v>
      </c>
      <c r="G65" s="332">
        <f>'!план для правки'!G62</f>
        <v>0</v>
      </c>
      <c r="H65" s="332">
        <f>'!план для правки'!I62</f>
        <v>0</v>
      </c>
      <c r="I65" s="332">
        <f>'!план для правки'!J62</f>
        <v>0</v>
      </c>
      <c r="J65" s="329"/>
      <c r="K65" s="332">
        <f>'!план для правки'!K62</f>
        <v>0</v>
      </c>
      <c r="L65" s="344">
        <f>'!план для правки'!L62</f>
        <v>0</v>
      </c>
      <c r="M65" s="348">
        <f>'!план для правки'!N62</f>
        <v>0</v>
      </c>
      <c r="N65" s="348">
        <f>'!план для правки'!Y62</f>
        <v>0</v>
      </c>
      <c r="O65" s="348">
        <f>'!план для правки'!AJ62</f>
        <v>0</v>
      </c>
      <c r="P65" s="348">
        <f>'!план для правки'!AU62</f>
        <v>0</v>
      </c>
      <c r="Q65" s="348">
        <f>'!план для правки'!BF62</f>
        <v>0</v>
      </c>
      <c r="R65" s="348">
        <f>'!план для правки'!BQ62</f>
        <v>0</v>
      </c>
      <c r="S65" s="348">
        <f>'!план для правки'!CB62</f>
        <v>0</v>
      </c>
    </row>
    <row r="66" spans="1:19" ht="19.5" customHeight="1" x14ac:dyDescent="0.25">
      <c r="A66" s="377">
        <f>'!план для правки'!A63</f>
        <v>0</v>
      </c>
      <c r="B66" s="392" t="str">
        <f>'!план для правки'!B63</f>
        <v>Квалификационный экзамен</v>
      </c>
      <c r="C66" s="351" t="str">
        <f>'!план для правки'!C63</f>
        <v>кэ</v>
      </c>
      <c r="D66" s="351">
        <f>'!план для правки'!D63</f>
        <v>8</v>
      </c>
      <c r="E66" s="342">
        <f>'!план для правки'!E63</f>
        <v>0</v>
      </c>
      <c r="F66" s="332">
        <f>'!план для правки'!F63</f>
        <v>0</v>
      </c>
      <c r="G66" s="332">
        <f>'!план для правки'!G63</f>
        <v>0</v>
      </c>
      <c r="H66" s="332">
        <f>'!план для правки'!I63</f>
        <v>0</v>
      </c>
      <c r="I66" s="332">
        <f>'!план для правки'!J63</f>
        <v>0</v>
      </c>
      <c r="J66" s="329"/>
      <c r="K66" s="332">
        <f>'!план для правки'!K63</f>
        <v>4</v>
      </c>
      <c r="L66" s="344">
        <f>'!план для правки'!L63</f>
        <v>4</v>
      </c>
      <c r="M66" s="348">
        <f>'!план для правки'!N63</f>
        <v>0</v>
      </c>
      <c r="N66" s="351">
        <f>'!план для правки'!Y63</f>
        <v>0</v>
      </c>
      <c r="O66" s="351">
        <f>'!план для правки'!AJ63</f>
        <v>0</v>
      </c>
      <c r="P66" s="351">
        <f>'!план для правки'!AU63</f>
        <v>8</v>
      </c>
      <c r="Q66" s="351">
        <f>'!план для правки'!BF63</f>
        <v>0</v>
      </c>
      <c r="R66" s="351">
        <f>'!план для правки'!BQ63</f>
        <v>0</v>
      </c>
      <c r="S66" s="351">
        <f>'!план для правки'!CB63</f>
        <v>0</v>
      </c>
    </row>
    <row r="67" spans="1:19" ht="9.75" customHeight="1" thickBot="1" x14ac:dyDescent="0.3">
      <c r="A67" s="378">
        <f>'!план для правки'!A64</f>
        <v>0</v>
      </c>
      <c r="B67" s="393">
        <f>'!план для правки'!B64</f>
        <v>0</v>
      </c>
      <c r="C67" s="380">
        <f>'!план для правки'!C64</f>
        <v>0</v>
      </c>
      <c r="D67" s="380">
        <f>'!план для правки'!D64</f>
        <v>0</v>
      </c>
      <c r="E67" s="381">
        <f>'!план для правки'!E64</f>
        <v>0</v>
      </c>
      <c r="F67" s="382">
        <f>'!план для правки'!F64</f>
        <v>0</v>
      </c>
      <c r="G67" s="382">
        <f>'!план для правки'!G64</f>
        <v>0</v>
      </c>
      <c r="H67" s="382">
        <f>'!план для правки'!I64</f>
        <v>0</v>
      </c>
      <c r="I67" s="382">
        <f>'!план для правки'!J64</f>
        <v>0</v>
      </c>
      <c r="J67" s="383"/>
      <c r="K67" s="382">
        <f>'!план для правки'!K64</f>
        <v>0</v>
      </c>
      <c r="L67" s="384">
        <f>'!план для правки'!L64</f>
        <v>0</v>
      </c>
      <c r="M67" s="371">
        <f>'!план для правки'!N64</f>
        <v>0</v>
      </c>
      <c r="N67" s="380">
        <f>'!план для правки'!Y64</f>
        <v>0</v>
      </c>
      <c r="O67" s="380">
        <f>'!план для правки'!AJ64</f>
        <v>0</v>
      </c>
      <c r="P67" s="380">
        <f>'!план для правки'!AU64</f>
        <v>0</v>
      </c>
      <c r="Q67" s="380">
        <f>'!план для правки'!BF64</f>
        <v>0</v>
      </c>
      <c r="R67" s="380">
        <f>'!план для правки'!BQ64</f>
        <v>0</v>
      </c>
      <c r="S67" s="380">
        <f>'!план для правки'!CB64</f>
        <v>0</v>
      </c>
    </row>
    <row r="68" spans="1:19" s="328" customFormat="1" ht="31.5" x14ac:dyDescent="0.25">
      <c r="A68" s="375" t="str">
        <f>'!план для правки'!A65</f>
        <v>ПМ.03</v>
      </c>
      <c r="B68" s="394" t="str">
        <f>'!план для правки'!B65</f>
        <v>ПМ03. Ревьюирование программных модулей</v>
      </c>
      <c r="C68" s="357" t="str">
        <f>'!план для правки'!C65</f>
        <v>кэ</v>
      </c>
      <c r="D68" s="357">
        <f>'!план для правки'!D65</f>
        <v>176</v>
      </c>
      <c r="E68" s="367">
        <f>'!план для правки'!E65</f>
        <v>0</v>
      </c>
      <c r="F68" s="359">
        <f>'!план для правки'!F65</f>
        <v>150</v>
      </c>
      <c r="G68" s="359">
        <f>'!план для правки'!G65</f>
        <v>50</v>
      </c>
      <c r="H68" s="359">
        <f>'!план для правки'!I65</f>
        <v>100</v>
      </c>
      <c r="I68" s="359">
        <f>'!план для правки'!J65</f>
        <v>10</v>
      </c>
      <c r="J68" s="359">
        <f>D71+D72</f>
        <v>72</v>
      </c>
      <c r="K68" s="359">
        <f>'!план для правки'!K65</f>
        <v>8</v>
      </c>
      <c r="L68" s="361">
        <f>'!план для правки'!L65</f>
        <v>18</v>
      </c>
      <c r="M68" s="356">
        <f>'!план для правки'!N65</f>
        <v>0</v>
      </c>
      <c r="N68" s="357">
        <f>'!план для правки'!Y65</f>
        <v>0</v>
      </c>
      <c r="O68" s="357">
        <f>'!план для правки'!AJ65</f>
        <v>0</v>
      </c>
      <c r="P68" s="357">
        <f>'!план для правки'!AU65</f>
        <v>0</v>
      </c>
      <c r="Q68" s="357">
        <f>'!план для правки'!BF65</f>
        <v>176</v>
      </c>
      <c r="R68" s="357">
        <f>'!план для правки'!BQ65</f>
        <v>0</v>
      </c>
      <c r="S68" s="357">
        <f>'!план для правки'!CB65</f>
        <v>0</v>
      </c>
    </row>
    <row r="69" spans="1:19" ht="34.5" customHeight="1" x14ac:dyDescent="0.25">
      <c r="A69" s="377" t="str">
        <f>'!план для правки'!A66</f>
        <v>МДК.03.01</v>
      </c>
      <c r="B69" s="392" t="str">
        <f>'!план для правки'!B66</f>
        <v>Моделирование и анализ программного обеспечения</v>
      </c>
      <c r="C69" s="351" t="str">
        <f>'!план для правки'!C66</f>
        <v>э</v>
      </c>
      <c r="D69" s="351">
        <f>'!план для правки'!D66</f>
        <v>44</v>
      </c>
      <c r="E69" s="342">
        <f>'!план для правки'!E66</f>
        <v>0</v>
      </c>
      <c r="F69" s="332">
        <f>'!план для правки'!F66</f>
        <v>36</v>
      </c>
      <c r="G69" s="332">
        <f>'!план для правки'!G66</f>
        <v>18</v>
      </c>
      <c r="H69" s="332">
        <f>'!план для правки'!I66</f>
        <v>18</v>
      </c>
      <c r="I69" s="332">
        <f>'!план для правки'!J66</f>
        <v>10</v>
      </c>
      <c r="J69" s="329"/>
      <c r="K69" s="332">
        <f>'!план для правки'!K66</f>
        <v>2</v>
      </c>
      <c r="L69" s="344">
        <f>'!план для правки'!L66</f>
        <v>6</v>
      </c>
      <c r="M69" s="348">
        <f>'!план для правки'!N66</f>
        <v>0</v>
      </c>
      <c r="N69" s="351">
        <f>'!план для правки'!Y66</f>
        <v>0</v>
      </c>
      <c r="O69" s="351">
        <f>'!план для правки'!AJ66</f>
        <v>0</v>
      </c>
      <c r="P69" s="351">
        <f>'!план для правки'!AU66</f>
        <v>0</v>
      </c>
      <c r="Q69" s="351">
        <f>'!план для правки'!BF66</f>
        <v>44</v>
      </c>
      <c r="R69" s="351">
        <f>'!план для правки'!BQ66</f>
        <v>0</v>
      </c>
      <c r="S69" s="351">
        <f>'!план для правки'!CB66</f>
        <v>0</v>
      </c>
    </row>
    <row r="70" spans="1:19" x14ac:dyDescent="0.25">
      <c r="A70" s="326" t="str">
        <f>'!план для правки'!A67</f>
        <v>МДК.03.02</v>
      </c>
      <c r="B70" s="387" t="str">
        <f>'!план для правки'!B67</f>
        <v>Управление проектами</v>
      </c>
      <c r="C70" s="351" t="str">
        <f>'!план для правки'!C67</f>
        <v>э</v>
      </c>
      <c r="D70" s="351">
        <f>'!план для правки'!D67</f>
        <v>50</v>
      </c>
      <c r="E70" s="342">
        <f>'!план для правки'!E67</f>
        <v>0</v>
      </c>
      <c r="F70" s="332">
        <f>'!план для правки'!F67</f>
        <v>42</v>
      </c>
      <c r="G70" s="332">
        <f>'!план для правки'!G67</f>
        <v>32</v>
      </c>
      <c r="H70" s="332">
        <f>'!план для правки'!I67</f>
        <v>10</v>
      </c>
      <c r="I70" s="332">
        <f>'!план для правки'!J67</f>
        <v>0</v>
      </c>
      <c r="J70" s="329"/>
      <c r="K70" s="332">
        <f>'!план для правки'!K67</f>
        <v>2</v>
      </c>
      <c r="L70" s="344">
        <f>'!план для правки'!L67</f>
        <v>6</v>
      </c>
      <c r="M70" s="348">
        <f>'!план для правки'!N67</f>
        <v>0</v>
      </c>
      <c r="N70" s="351">
        <f>'!план для правки'!Y67</f>
        <v>0</v>
      </c>
      <c r="O70" s="351">
        <f>'!план для правки'!AJ67</f>
        <v>0</v>
      </c>
      <c r="P70" s="351">
        <f>'!план для правки'!AU67</f>
        <v>0</v>
      </c>
      <c r="Q70" s="351">
        <f>'!план для правки'!BF67</f>
        <v>50</v>
      </c>
      <c r="R70" s="351">
        <f>'!план для правки'!BQ67</f>
        <v>0</v>
      </c>
      <c r="S70" s="351">
        <f>'!план для правки'!CB67</f>
        <v>0</v>
      </c>
    </row>
    <row r="71" spans="1:19" x14ac:dyDescent="0.25">
      <c r="A71" s="326" t="str">
        <f>'!план для правки'!A68</f>
        <v>УП.03</v>
      </c>
      <c r="B71" s="387" t="str">
        <f>'!план для правки'!B68</f>
        <v>Учебная практика</v>
      </c>
      <c r="C71" s="351" t="str">
        <f>'!план для правки'!C68</f>
        <v>дз,дз</v>
      </c>
      <c r="D71" s="351">
        <f>'!план для правки'!D68</f>
        <v>72</v>
      </c>
      <c r="E71" s="342">
        <f>'!план для правки'!E68</f>
        <v>0</v>
      </c>
      <c r="F71" s="332">
        <f>'!план для правки'!F68</f>
        <v>72</v>
      </c>
      <c r="G71" s="332">
        <f>'!план для правки'!G68</f>
        <v>0</v>
      </c>
      <c r="H71" s="332">
        <f>'!план для правки'!I68</f>
        <v>72</v>
      </c>
      <c r="I71" s="332">
        <f>'!план для правки'!J68</f>
        <v>0</v>
      </c>
      <c r="J71" s="329"/>
      <c r="K71" s="332">
        <f>'!план для правки'!K68</f>
        <v>0</v>
      </c>
      <c r="L71" s="344">
        <f>'!план для правки'!L68</f>
        <v>0</v>
      </c>
      <c r="M71" s="348">
        <f>'!план для правки'!N68</f>
        <v>0</v>
      </c>
      <c r="N71" s="351">
        <f>'!план для правки'!Y68</f>
        <v>0</v>
      </c>
      <c r="O71" s="351">
        <f>'!план для правки'!AJ68</f>
        <v>0</v>
      </c>
      <c r="P71" s="351">
        <f>'!план для правки'!AU68</f>
        <v>0</v>
      </c>
      <c r="Q71" s="351">
        <f>'!план для правки'!BF68</f>
        <v>72</v>
      </c>
      <c r="R71" s="351">
        <f>'!план для правки'!BQ68</f>
        <v>0</v>
      </c>
      <c r="S71" s="351">
        <f>'!план для правки'!CB68</f>
        <v>0</v>
      </c>
    </row>
    <row r="72" spans="1:19" ht="18.75" customHeight="1" x14ac:dyDescent="0.25">
      <c r="A72" s="326" t="str">
        <f>'!план для правки'!A69</f>
        <v>ПП.03</v>
      </c>
      <c r="B72" s="387" t="str">
        <f>'!план для правки'!B69</f>
        <v xml:space="preserve">Производственная практика </v>
      </c>
      <c r="C72" s="351" t="str">
        <f>'!план для правки'!C69</f>
        <v>дз</v>
      </c>
      <c r="D72" s="351">
        <f>'!план для правки'!D69</f>
        <v>0</v>
      </c>
      <c r="E72" s="342">
        <f>'!план для правки'!E69</f>
        <v>0</v>
      </c>
      <c r="F72" s="332">
        <f>'!план для правки'!F69</f>
        <v>0</v>
      </c>
      <c r="G72" s="332">
        <f>'!план для правки'!G69</f>
        <v>0</v>
      </c>
      <c r="H72" s="332">
        <f>'!план для правки'!I69</f>
        <v>0</v>
      </c>
      <c r="I72" s="332">
        <f>'!план для правки'!J69</f>
        <v>0</v>
      </c>
      <c r="J72" s="329"/>
      <c r="K72" s="332">
        <f>'!план для правки'!K69</f>
        <v>0</v>
      </c>
      <c r="L72" s="344">
        <f>'!план для правки'!L69</f>
        <v>0</v>
      </c>
      <c r="M72" s="348">
        <f>'!план для правки'!N69</f>
        <v>0</v>
      </c>
      <c r="N72" s="351">
        <f>'!план для правки'!Y69</f>
        <v>0</v>
      </c>
      <c r="O72" s="351">
        <f>'!план для правки'!AJ69</f>
        <v>0</v>
      </c>
      <c r="P72" s="351">
        <f>'!план для правки'!AU69</f>
        <v>0</v>
      </c>
      <c r="Q72" s="351">
        <f>'!план для правки'!BF69</f>
        <v>0</v>
      </c>
      <c r="R72" s="351">
        <f>'!план для правки'!BQ69</f>
        <v>0</v>
      </c>
      <c r="S72" s="351">
        <f>'!план для правки'!CB69</f>
        <v>0</v>
      </c>
    </row>
    <row r="73" spans="1:19" ht="15.75" customHeight="1" x14ac:dyDescent="0.25">
      <c r="A73" s="326">
        <f>'!план для правки'!A70</f>
        <v>0</v>
      </c>
      <c r="B73" s="387" t="str">
        <f>'!план для правки'!B70</f>
        <v>Квалификационный экзамен</v>
      </c>
      <c r="C73" s="351">
        <f>'!план для правки'!C70</f>
        <v>0</v>
      </c>
      <c r="D73" s="351">
        <f>'!план для правки'!D70</f>
        <v>10</v>
      </c>
      <c r="E73" s="342">
        <f>'!план для правки'!E70</f>
        <v>0</v>
      </c>
      <c r="F73" s="332">
        <f>'!план для правки'!F70</f>
        <v>0</v>
      </c>
      <c r="G73" s="332">
        <f>'!план для правки'!G70</f>
        <v>0</v>
      </c>
      <c r="H73" s="332">
        <f>'!план для правки'!I70</f>
        <v>0</v>
      </c>
      <c r="I73" s="332">
        <f>'!план для правки'!J70</f>
        <v>0</v>
      </c>
      <c r="J73" s="329"/>
      <c r="K73" s="332">
        <f>'!план для правки'!K70</f>
        <v>4</v>
      </c>
      <c r="L73" s="344">
        <f>'!план для правки'!L70</f>
        <v>6</v>
      </c>
      <c r="M73" s="348">
        <f>'!план для правки'!N70</f>
        <v>0</v>
      </c>
      <c r="N73" s="351">
        <f>'!план для правки'!Y70</f>
        <v>0</v>
      </c>
      <c r="O73" s="351">
        <f>'!план для правки'!AJ70</f>
        <v>0</v>
      </c>
      <c r="P73" s="351">
        <f>'!план для правки'!AU70</f>
        <v>0</v>
      </c>
      <c r="Q73" s="351">
        <f>'!план для правки'!BF70</f>
        <v>10</v>
      </c>
      <c r="R73" s="351">
        <f>'!план для правки'!BQ70</f>
        <v>0</v>
      </c>
      <c r="S73" s="351">
        <f>'!план для правки'!CB70</f>
        <v>0</v>
      </c>
    </row>
    <row r="74" spans="1:19" ht="9.75" customHeight="1" thickBot="1" x14ac:dyDescent="0.3">
      <c r="A74" s="385">
        <f>'!план для правки'!A71</f>
        <v>0</v>
      </c>
      <c r="B74" s="388">
        <f>'!план для правки'!B71</f>
        <v>0</v>
      </c>
      <c r="C74" s="380">
        <f>'!план для правки'!C71</f>
        <v>0</v>
      </c>
      <c r="D74" s="380">
        <f>'!план для правки'!D71</f>
        <v>0</v>
      </c>
      <c r="E74" s="381">
        <f>'!план для правки'!E71</f>
        <v>0</v>
      </c>
      <c r="F74" s="382">
        <f>'!план для правки'!F71</f>
        <v>0</v>
      </c>
      <c r="G74" s="382">
        <f>'!план для правки'!G71</f>
        <v>0</v>
      </c>
      <c r="H74" s="382">
        <f>'!план для правки'!I71</f>
        <v>0</v>
      </c>
      <c r="I74" s="382">
        <f>'!план для правки'!J71</f>
        <v>0</v>
      </c>
      <c r="J74" s="383"/>
      <c r="K74" s="382">
        <f>'!план для правки'!K71</f>
        <v>0</v>
      </c>
      <c r="L74" s="384">
        <f>'!план для правки'!L71</f>
        <v>0</v>
      </c>
      <c r="M74" s="371">
        <f>'!план для правки'!N71</f>
        <v>0</v>
      </c>
      <c r="N74" s="380">
        <f>'!план для правки'!Y71</f>
        <v>0</v>
      </c>
      <c r="O74" s="380">
        <f>'!план для правки'!AJ71</f>
        <v>0</v>
      </c>
      <c r="P74" s="380">
        <f>'!план для правки'!AU71</f>
        <v>0</v>
      </c>
      <c r="Q74" s="380">
        <f>'!план для правки'!BF71</f>
        <v>0</v>
      </c>
      <c r="R74" s="380">
        <f>'!план для правки'!BQ71</f>
        <v>0</v>
      </c>
      <c r="S74" s="380">
        <f>'!план для правки'!CB71</f>
        <v>0</v>
      </c>
    </row>
    <row r="75" spans="1:19" s="328" customFormat="1" ht="47.25" customHeight="1" x14ac:dyDescent="0.25">
      <c r="A75" s="358" t="str">
        <f>'!план для правки'!A72</f>
        <v>ПМ.05</v>
      </c>
      <c r="B75" s="389" t="str">
        <f>'!план для правки'!B72</f>
        <v>ПМ05. Проектирование и разработка информационных систем</v>
      </c>
      <c r="C75" s="357" t="str">
        <f>'!план для правки'!C72</f>
        <v>кэ</v>
      </c>
      <c r="D75" s="357">
        <f>'!план для правки'!D72</f>
        <v>1176</v>
      </c>
      <c r="E75" s="367">
        <f>'!план для правки'!E72</f>
        <v>0</v>
      </c>
      <c r="F75" s="359">
        <f>'!план для правки'!F72</f>
        <v>1136</v>
      </c>
      <c r="G75" s="359">
        <f>'!план для правки'!G72</f>
        <v>602</v>
      </c>
      <c r="H75" s="359">
        <f>'!план для правки'!I72</f>
        <v>462</v>
      </c>
      <c r="I75" s="359">
        <f>'!план для правки'!J72</f>
        <v>15</v>
      </c>
      <c r="J75" s="359">
        <f>D81+D82</f>
        <v>468</v>
      </c>
      <c r="K75" s="359">
        <f>'!план для правки'!K72</f>
        <v>14</v>
      </c>
      <c r="L75" s="361">
        <f>'!план для правки'!L72</f>
        <v>26</v>
      </c>
      <c r="M75" s="356">
        <f>'!план для правки'!N72</f>
        <v>0</v>
      </c>
      <c r="N75" s="357">
        <f>'!план для правки'!Y72</f>
        <v>0</v>
      </c>
      <c r="O75" s="357">
        <f>'!план для правки'!AJ72</f>
        <v>0</v>
      </c>
      <c r="P75" s="357">
        <f>'!план для правки'!AU72</f>
        <v>0</v>
      </c>
      <c r="Q75" s="357">
        <f>'!план для правки'!BF72</f>
        <v>316</v>
      </c>
      <c r="R75" s="357">
        <f>'!план для правки'!BQ72</f>
        <v>262</v>
      </c>
      <c r="S75" s="357">
        <f>'!план для правки'!CB72</f>
        <v>598</v>
      </c>
    </row>
    <row r="76" spans="1:19" ht="31.5" x14ac:dyDescent="0.25">
      <c r="A76" s="326" t="str">
        <f>'!план для правки'!A73</f>
        <v>МДК.05.01</v>
      </c>
      <c r="B76" s="387" t="str">
        <f>'!план для правки'!B73</f>
        <v>Проектирование и дизайн информационных систем</v>
      </c>
      <c r="C76" s="351" t="str">
        <f>'!план для правки'!C73</f>
        <v>~, э, компл.МДК05.03</v>
      </c>
      <c r="D76" s="351">
        <f>'!план для правки'!D73</f>
        <v>119</v>
      </c>
      <c r="E76" s="342">
        <f>'!план для правки'!E73</f>
        <v>0</v>
      </c>
      <c r="F76" s="332">
        <f>'!план для правки'!F73</f>
        <v>114</v>
      </c>
      <c r="G76" s="332">
        <f>'!план для правки'!G73</f>
        <v>74</v>
      </c>
      <c r="H76" s="332">
        <f>'!план для правки'!I73</f>
        <v>40</v>
      </c>
      <c r="I76" s="332">
        <f>'!план для правки'!J73</f>
        <v>0</v>
      </c>
      <c r="J76" s="329"/>
      <c r="K76" s="332">
        <f>'!план для правки'!K73</f>
        <v>2</v>
      </c>
      <c r="L76" s="344">
        <f>'!план для правки'!L73</f>
        <v>3</v>
      </c>
      <c r="M76" s="348">
        <f>'!план для правки'!N73</f>
        <v>0</v>
      </c>
      <c r="N76" s="351">
        <f>'!план для правки'!Y73</f>
        <v>0</v>
      </c>
      <c r="O76" s="351">
        <f>'!план для правки'!AJ73</f>
        <v>0</v>
      </c>
      <c r="P76" s="351">
        <f>'!план для правки'!AU73</f>
        <v>0</v>
      </c>
      <c r="Q76" s="351">
        <f>'!план для правки'!BF73</f>
        <v>42</v>
      </c>
      <c r="R76" s="351">
        <f>'!план для правки'!BQ73</f>
        <v>77</v>
      </c>
      <c r="S76" s="351">
        <f>'!план для правки'!CB73</f>
        <v>0</v>
      </c>
    </row>
    <row r="77" spans="1:19" ht="31.5" x14ac:dyDescent="0.25">
      <c r="A77" s="326" t="str">
        <f>'!план для правки'!A74</f>
        <v>МДК.05.02</v>
      </c>
      <c r="B77" s="387" t="str">
        <f>'!план для правки'!B74</f>
        <v>Разработка кода информационных систем</v>
      </c>
      <c r="C77" s="351">
        <f>'!план для правки'!C74</f>
        <v>0</v>
      </c>
      <c r="D77" s="351">
        <f>'!план для правки'!D74</f>
        <v>257</v>
      </c>
      <c r="E77" s="342">
        <f>'!план для правки'!E74</f>
        <v>0</v>
      </c>
      <c r="F77" s="332">
        <f>'!план для правки'!F74</f>
        <v>248</v>
      </c>
      <c r="G77" s="332">
        <f>'!план для правки'!G74</f>
        <v>120</v>
      </c>
      <c r="H77" s="332">
        <f>'!план для правки'!I74</f>
        <v>128</v>
      </c>
      <c r="I77" s="332">
        <f>'!план для правки'!J74</f>
        <v>15</v>
      </c>
      <c r="J77" s="329"/>
      <c r="K77" s="332">
        <f>'!план для правки'!K74</f>
        <v>3</v>
      </c>
      <c r="L77" s="344">
        <f>'!план для правки'!L74</f>
        <v>6</v>
      </c>
      <c r="M77" s="348">
        <f>'!план для правки'!N74</f>
        <v>0</v>
      </c>
      <c r="N77" s="351">
        <f>'!план для правки'!Y74</f>
        <v>0</v>
      </c>
      <c r="O77" s="351">
        <f>'!план для правки'!AJ74</f>
        <v>0</v>
      </c>
      <c r="P77" s="351">
        <f>'!план для правки'!AU74</f>
        <v>0</v>
      </c>
      <c r="Q77" s="351">
        <f>'!план для правки'!BF74</f>
        <v>72</v>
      </c>
      <c r="R77" s="351">
        <f>'!план для правки'!BQ74</f>
        <v>113</v>
      </c>
      <c r="S77" s="351">
        <f>'!план для правки'!CB74</f>
        <v>72</v>
      </c>
    </row>
    <row r="78" spans="1:19" ht="31.5" x14ac:dyDescent="0.25">
      <c r="A78" s="326" t="str">
        <f>'!план для правки'!A75</f>
        <v>МДК.05.03</v>
      </c>
      <c r="B78" s="387" t="str">
        <f>'!план для правки'!B75</f>
        <v>Тестирование информационных систем</v>
      </c>
      <c r="C78" s="351" t="str">
        <f>'!план для правки'!C75</f>
        <v>компл.МДК 05.02</v>
      </c>
      <c r="D78" s="351">
        <f>'!план для правки'!D75</f>
        <v>130</v>
      </c>
      <c r="E78" s="342">
        <f>'!план для правки'!E75</f>
        <v>0</v>
      </c>
      <c r="F78" s="332">
        <f>'!план для правки'!F75</f>
        <v>126</v>
      </c>
      <c r="G78" s="332">
        <f>'!план для правки'!G75</f>
        <v>96</v>
      </c>
      <c r="H78" s="332">
        <f>'!план для правки'!I75</f>
        <v>30</v>
      </c>
      <c r="I78" s="332">
        <f>'!план для правки'!J75</f>
        <v>0</v>
      </c>
      <c r="J78" s="329"/>
      <c r="K78" s="332">
        <f>'!план для правки'!K75</f>
        <v>1</v>
      </c>
      <c r="L78" s="344">
        <f>'!план для правки'!L75</f>
        <v>3</v>
      </c>
      <c r="M78" s="348">
        <f>'!план для правки'!N75</f>
        <v>0</v>
      </c>
      <c r="N78" s="351">
        <f>'!план для правки'!Y75</f>
        <v>0</v>
      </c>
      <c r="O78" s="351">
        <f>'!план для правки'!AJ75</f>
        <v>0</v>
      </c>
      <c r="P78" s="351">
        <f>'!план для правки'!AU75</f>
        <v>0</v>
      </c>
      <c r="Q78" s="351">
        <f>'!план для правки'!BF75</f>
        <v>0</v>
      </c>
      <c r="R78" s="351">
        <f>'!план для правки'!BQ75</f>
        <v>0</v>
      </c>
      <c r="S78" s="351">
        <f>'!план для правки'!CB75</f>
        <v>130</v>
      </c>
    </row>
    <row r="79" spans="1:19" ht="31.5" customHeight="1" x14ac:dyDescent="0.25">
      <c r="A79" s="326" t="str">
        <f>'!план для правки'!A76</f>
        <v>МДК 05.04</v>
      </c>
      <c r="B79" s="387" t="str">
        <f>'!план для правки'!B76</f>
        <v>Подготовка к ДЭ Программные решения для бизнеса</v>
      </c>
      <c r="C79" s="351" t="str">
        <f>'!план для правки'!C76</f>
        <v>э</v>
      </c>
      <c r="D79" s="351">
        <f>'!план для правки'!D76</f>
        <v>65</v>
      </c>
      <c r="E79" s="342">
        <f>'!план для правки'!E76</f>
        <v>0</v>
      </c>
      <c r="F79" s="332">
        <f>'!план для правки'!F76</f>
        <v>60</v>
      </c>
      <c r="G79" s="332">
        <f>'!план для правки'!G76</f>
        <v>20</v>
      </c>
      <c r="H79" s="332">
        <f>'!план для правки'!I76</f>
        <v>40</v>
      </c>
      <c r="I79" s="332">
        <f>'!план для правки'!J76</f>
        <v>0</v>
      </c>
      <c r="J79" s="329"/>
      <c r="K79" s="332">
        <f>'!план для правки'!K76</f>
        <v>2</v>
      </c>
      <c r="L79" s="344">
        <f>'!план для правки'!L76</f>
        <v>3</v>
      </c>
      <c r="M79" s="348">
        <f>'!план для правки'!N76</f>
        <v>0</v>
      </c>
      <c r="N79" s="351">
        <f>'!план для правки'!Y76</f>
        <v>0</v>
      </c>
      <c r="O79" s="351">
        <f>'!план для правки'!AJ76</f>
        <v>0</v>
      </c>
      <c r="P79" s="351">
        <f>'!план для правки'!AU76</f>
        <v>0</v>
      </c>
      <c r="Q79" s="351">
        <f>'!план для правки'!BF76</f>
        <v>65</v>
      </c>
      <c r="R79" s="351">
        <f>'!план для правки'!BQ76</f>
        <v>0</v>
      </c>
      <c r="S79" s="351">
        <f>'!план для правки'!CB76</f>
        <v>0</v>
      </c>
    </row>
    <row r="80" spans="1:19" ht="31.5" x14ac:dyDescent="0.25">
      <c r="A80" s="326" t="str">
        <f>'!план для правки'!A77</f>
        <v>МДК 05.05</v>
      </c>
      <c r="B80" s="387" t="str">
        <f>'!план для правки'!B77</f>
        <v>Подготовка к ДЭ IT- решения для бизнеса</v>
      </c>
      <c r="C80" s="351">
        <f>'!план для правки'!C77</f>
        <v>0</v>
      </c>
      <c r="D80" s="351">
        <f>'!план для правки'!D77</f>
        <v>131</v>
      </c>
      <c r="E80" s="342">
        <f>'!план для правки'!E77</f>
        <v>0</v>
      </c>
      <c r="F80" s="332">
        <f>'!план для правки'!F77</f>
        <v>120</v>
      </c>
      <c r="G80" s="332">
        <f>'!план для правки'!G77</f>
        <v>40</v>
      </c>
      <c r="H80" s="332">
        <f>'!план для правки'!I77</f>
        <v>80</v>
      </c>
      <c r="I80" s="332">
        <f>'!план для правки'!J77</f>
        <v>0</v>
      </c>
      <c r="J80" s="329"/>
      <c r="K80" s="332">
        <f>'!план для правки'!K77</f>
        <v>4</v>
      </c>
      <c r="L80" s="344">
        <f>'!план для правки'!L77</f>
        <v>7</v>
      </c>
      <c r="M80" s="348">
        <f>'!план для правки'!N77</f>
        <v>0</v>
      </c>
      <c r="N80" s="351">
        <f>'!план для правки'!Y77</f>
        <v>0</v>
      </c>
      <c r="O80" s="348">
        <f>'!план для правки'!AJ77</f>
        <v>0</v>
      </c>
      <c r="P80" s="348">
        <f>'!план для правки'!AU77</f>
        <v>0</v>
      </c>
      <c r="Q80" s="351">
        <f>'!план для правки'!BF77</f>
        <v>65</v>
      </c>
      <c r="R80" s="351">
        <f>'!план для правки'!BQ77</f>
        <v>0</v>
      </c>
      <c r="S80" s="351">
        <f>'!план для правки'!CB77</f>
        <v>66</v>
      </c>
    </row>
    <row r="81" spans="1:19" x14ac:dyDescent="0.25">
      <c r="A81" s="326" t="str">
        <f>'!план для правки'!A78</f>
        <v>УП.05</v>
      </c>
      <c r="B81" s="387" t="str">
        <f>'!план для правки'!B78</f>
        <v>Учебная практика</v>
      </c>
      <c r="C81" s="348" t="str">
        <f>'!план для правки'!C78</f>
        <v>дз,дз,дз</v>
      </c>
      <c r="D81" s="351">
        <f>'!план для правки'!D78</f>
        <v>288</v>
      </c>
      <c r="E81" s="342">
        <f>'!план для правки'!E78</f>
        <v>0</v>
      </c>
      <c r="F81" s="332">
        <f>'!план для правки'!F78</f>
        <v>288</v>
      </c>
      <c r="G81" s="332">
        <f>'!план для правки'!G78</f>
        <v>72</v>
      </c>
      <c r="H81" s="332">
        <f>'!план для правки'!I78</f>
        <v>144</v>
      </c>
      <c r="I81" s="332">
        <f>'!план для правки'!J78</f>
        <v>0</v>
      </c>
      <c r="J81" s="329"/>
      <c r="K81" s="332">
        <f>'!план для правки'!K78</f>
        <v>0</v>
      </c>
      <c r="L81" s="344">
        <f>'!план для правки'!L78</f>
        <v>0</v>
      </c>
      <c r="M81" s="348">
        <f>'!план для правки'!N78</f>
        <v>0</v>
      </c>
      <c r="N81" s="348">
        <f>'!план для правки'!Y78</f>
        <v>0</v>
      </c>
      <c r="O81" s="348">
        <f>'!план для правки'!AJ78</f>
        <v>0</v>
      </c>
      <c r="P81" s="348">
        <f>'!план для правки'!AU78</f>
        <v>0</v>
      </c>
      <c r="Q81" s="348">
        <f>'!план для правки'!BF78</f>
        <v>72</v>
      </c>
      <c r="R81" s="348">
        <f>'!план для правки'!BQ78</f>
        <v>72</v>
      </c>
      <c r="S81" s="348">
        <f>'!план для правки'!CB78</f>
        <v>144</v>
      </c>
    </row>
    <row r="82" spans="1:19" ht="30" customHeight="1" x14ac:dyDescent="0.25">
      <c r="A82" s="326" t="str">
        <f>'!план для правки'!A79</f>
        <v>ПП.05</v>
      </c>
      <c r="B82" s="387" t="str">
        <f>'!план для правки'!B79</f>
        <v>Производственная практика (распределенная)</v>
      </c>
      <c r="C82" s="348" t="str">
        <f>'!план для правки'!C79</f>
        <v>дз</v>
      </c>
      <c r="D82" s="351">
        <f>'!план для правки'!D79</f>
        <v>180</v>
      </c>
      <c r="E82" s="342">
        <f>'!план для правки'!E79</f>
        <v>0</v>
      </c>
      <c r="F82" s="332">
        <f>'!план для правки'!F79</f>
        <v>180</v>
      </c>
      <c r="G82" s="332">
        <f>'!план для правки'!G79</f>
        <v>0</v>
      </c>
      <c r="H82" s="332">
        <f>'!план для правки'!I79</f>
        <v>0</v>
      </c>
      <c r="I82" s="332">
        <f>'!план для правки'!J79</f>
        <v>0</v>
      </c>
      <c r="J82" s="329"/>
      <c r="K82" s="332">
        <f>'!план для правки'!K79</f>
        <v>0</v>
      </c>
      <c r="L82" s="344">
        <f>'!план для правки'!L79</f>
        <v>0</v>
      </c>
      <c r="M82" s="348">
        <f>'!план для правки'!N79</f>
        <v>0</v>
      </c>
      <c r="N82" s="348">
        <f>'!план для правки'!Y79</f>
        <v>0</v>
      </c>
      <c r="O82" s="348">
        <f>'!план для правки'!AJ79</f>
        <v>0</v>
      </c>
      <c r="P82" s="348">
        <f>'!план для правки'!AU79</f>
        <v>0</v>
      </c>
      <c r="Q82" s="348">
        <f>'!план для правки'!BF79</f>
        <v>0</v>
      </c>
      <c r="R82" s="348">
        <f>'!план для правки'!BQ79</f>
        <v>0</v>
      </c>
      <c r="S82" s="348">
        <f>'!план для правки'!CB79</f>
        <v>180</v>
      </c>
    </row>
    <row r="83" spans="1:19" ht="20.25" customHeight="1" x14ac:dyDescent="0.25">
      <c r="A83" s="326">
        <f>'!план для правки'!A80</f>
        <v>0</v>
      </c>
      <c r="B83" s="387" t="str">
        <f>'!план для правки'!B80</f>
        <v>Квалификационный экзамен</v>
      </c>
      <c r="C83" s="348" t="str">
        <f>'!план для правки'!C80</f>
        <v>кэ</v>
      </c>
      <c r="D83" s="351">
        <f>'!план для правки'!D80</f>
        <v>6</v>
      </c>
      <c r="E83" s="342">
        <f>'!план для правки'!E80</f>
        <v>0</v>
      </c>
      <c r="F83" s="332">
        <f>'!план для правки'!F80</f>
        <v>0</v>
      </c>
      <c r="G83" s="332">
        <f>'!план для правки'!G80</f>
        <v>0</v>
      </c>
      <c r="H83" s="332">
        <f>'!план для правки'!I80</f>
        <v>0</v>
      </c>
      <c r="I83" s="332">
        <f>'!план для правки'!J80</f>
        <v>0</v>
      </c>
      <c r="J83" s="329"/>
      <c r="K83" s="332">
        <f>'!план для правки'!K80</f>
        <v>2</v>
      </c>
      <c r="L83" s="344">
        <f>'!план для правки'!L80</f>
        <v>4</v>
      </c>
      <c r="M83" s="348">
        <f>'!план для правки'!N80</f>
        <v>0</v>
      </c>
      <c r="N83" s="348">
        <f>'!план для правки'!Y80</f>
        <v>0</v>
      </c>
      <c r="O83" s="348">
        <f>'!план для правки'!AJ80</f>
        <v>0</v>
      </c>
      <c r="P83" s="348">
        <f>'!план для правки'!AU80</f>
        <v>0</v>
      </c>
      <c r="Q83" s="348">
        <f>'!план для правки'!BF80</f>
        <v>0</v>
      </c>
      <c r="R83" s="348">
        <f>'!план для правки'!BQ80</f>
        <v>0</v>
      </c>
      <c r="S83" s="348">
        <f>'!план для правки'!CB80</f>
        <v>6</v>
      </c>
    </row>
    <row r="84" spans="1:19" ht="10.5" customHeight="1" thickBot="1" x14ac:dyDescent="0.3">
      <c r="A84" s="385">
        <f>'!план для правки'!A81</f>
        <v>0</v>
      </c>
      <c r="B84" s="388">
        <f>'!план для правки'!B81</f>
        <v>0</v>
      </c>
      <c r="C84" s="371">
        <f>'!план для правки'!C81</f>
        <v>0</v>
      </c>
      <c r="D84" s="380">
        <f>'!план для правки'!D81</f>
        <v>0</v>
      </c>
      <c r="E84" s="381">
        <f>'!план для правки'!E81</f>
        <v>0</v>
      </c>
      <c r="F84" s="382">
        <f>'!план для правки'!F81</f>
        <v>0</v>
      </c>
      <c r="G84" s="382">
        <f>'!план для правки'!G81</f>
        <v>0</v>
      </c>
      <c r="H84" s="382">
        <f>'!план для правки'!I81</f>
        <v>0</v>
      </c>
      <c r="I84" s="382">
        <f>'!план для правки'!J81</f>
        <v>0</v>
      </c>
      <c r="J84" s="383"/>
      <c r="K84" s="382">
        <f>'!план для правки'!K81</f>
        <v>0</v>
      </c>
      <c r="L84" s="384">
        <f>'!план для правки'!L81</f>
        <v>0</v>
      </c>
      <c r="M84" s="371">
        <f>'!план для правки'!N81</f>
        <v>0</v>
      </c>
      <c r="N84" s="371">
        <f>'!план для правки'!Y81</f>
        <v>0</v>
      </c>
      <c r="O84" s="371">
        <f>'!план для правки'!AJ81</f>
        <v>0</v>
      </c>
      <c r="P84" s="371">
        <f>'!план для правки'!AU81</f>
        <v>0</v>
      </c>
      <c r="Q84" s="371">
        <f>'!план для правки'!BF81</f>
        <v>0</v>
      </c>
      <c r="R84" s="371">
        <f>'!план для правки'!BQ81</f>
        <v>0</v>
      </c>
      <c r="S84" s="371">
        <f>'!план для правки'!CB81</f>
        <v>0</v>
      </c>
    </row>
    <row r="85" spans="1:19" s="328" customFormat="1" ht="31.5" x14ac:dyDescent="0.25">
      <c r="A85" s="358" t="str">
        <f>'!план для правки'!A82</f>
        <v>ПМ.06</v>
      </c>
      <c r="B85" s="389" t="str">
        <f>'!план для правки'!B82</f>
        <v>ПМ06 Эксплуатация и сопровождение ИС</v>
      </c>
      <c r="C85" s="356">
        <f>'!план для правки'!C82</f>
        <v>0</v>
      </c>
      <c r="D85" s="357">
        <f>'!план для правки'!D82</f>
        <v>519</v>
      </c>
      <c r="E85" s="367">
        <f>'!план для правки'!E82</f>
        <v>0</v>
      </c>
      <c r="F85" s="359">
        <f>'!план для правки'!F82</f>
        <v>493</v>
      </c>
      <c r="G85" s="359">
        <f>'!план для правки'!G82</f>
        <v>229</v>
      </c>
      <c r="H85" s="359">
        <f>'!план для правки'!I82</f>
        <v>264</v>
      </c>
      <c r="I85" s="359">
        <f>'!план для правки'!J82</f>
        <v>20</v>
      </c>
      <c r="J85" s="359">
        <f>D90+D91</f>
        <v>144</v>
      </c>
      <c r="K85" s="359">
        <f>'!план для правки'!K82</f>
        <v>10</v>
      </c>
      <c r="L85" s="361">
        <f>'!план для правки'!L82</f>
        <v>16</v>
      </c>
      <c r="M85" s="356">
        <f>'!план для правки'!N82</f>
        <v>0</v>
      </c>
      <c r="N85" s="356">
        <f>'!план для правки'!Y82</f>
        <v>0</v>
      </c>
      <c r="O85" s="356">
        <f>'!план для правки'!AJ82</f>
        <v>53</v>
      </c>
      <c r="P85" s="356">
        <f>'!план для правки'!AU82</f>
        <v>40</v>
      </c>
      <c r="Q85" s="356">
        <f>'!план для правки'!BF82</f>
        <v>72</v>
      </c>
      <c r="R85" s="356">
        <f>'!план для правки'!BQ82</f>
        <v>354</v>
      </c>
      <c r="S85" s="356">
        <f>'!план для правки'!CB82</f>
        <v>0</v>
      </c>
    </row>
    <row r="86" spans="1:19" ht="15.75" customHeight="1" x14ac:dyDescent="0.25">
      <c r="A86" s="326" t="str">
        <f>'!план для правки'!A83</f>
        <v>МДК.06.01</v>
      </c>
      <c r="B86" s="387" t="str">
        <f>'!план для правки'!B83</f>
        <v>Внедрение ИС</v>
      </c>
      <c r="C86" s="510" t="str">
        <f>'!план для правки'!C83</f>
        <v>~ компл.экз. с МДК06.04</v>
      </c>
      <c r="D86" s="351">
        <f>'!план для правки'!D83</f>
        <v>98</v>
      </c>
      <c r="E86" s="342">
        <f>'!план для правки'!E83</f>
        <v>0</v>
      </c>
      <c r="F86" s="332">
        <f>'!план для правки'!F83</f>
        <v>94</v>
      </c>
      <c r="G86" s="332">
        <f>'!план для правки'!G83</f>
        <v>64</v>
      </c>
      <c r="H86" s="332">
        <f>'!план для правки'!I83</f>
        <v>30</v>
      </c>
      <c r="I86" s="332">
        <f>'!план для правки'!J83</f>
        <v>20</v>
      </c>
      <c r="J86" s="329"/>
      <c r="K86" s="332">
        <f>'!план для правки'!K83</f>
        <v>2</v>
      </c>
      <c r="L86" s="344">
        <f>'!план для правки'!L83</f>
        <v>2</v>
      </c>
      <c r="M86" s="348">
        <f>'!план для правки'!N83</f>
        <v>0</v>
      </c>
      <c r="N86" s="348">
        <f>'!план для правки'!Y83</f>
        <v>0</v>
      </c>
      <c r="O86" s="348">
        <f>'!план для правки'!AJ83</f>
        <v>0</v>
      </c>
      <c r="P86" s="348">
        <f>'!план для правки'!AU83</f>
        <v>0</v>
      </c>
      <c r="Q86" s="348">
        <f>'!план для правки'!BF83</f>
        <v>24</v>
      </c>
      <c r="R86" s="348">
        <f>'!план для правки'!BQ83</f>
        <v>74</v>
      </c>
      <c r="S86" s="348">
        <f>'!план для правки'!CB83</f>
        <v>0</v>
      </c>
    </row>
    <row r="87" spans="1:19" ht="36" customHeight="1" x14ac:dyDescent="0.25">
      <c r="A87" s="326" t="str">
        <f>'!план для правки'!A84</f>
        <v>МДК.06.02</v>
      </c>
      <c r="B87" s="387" t="str">
        <f>'!план для правки'!B84</f>
        <v>Инженерно-техническая поддержка сопровождения ИС</v>
      </c>
      <c r="C87" s="511"/>
      <c r="D87" s="351">
        <f>'!план для правки'!D84</f>
        <v>114</v>
      </c>
      <c r="E87" s="342">
        <f>'!план для правки'!E84</f>
        <v>0</v>
      </c>
      <c r="F87" s="332">
        <f>'!план для правки'!F84</f>
        <v>108</v>
      </c>
      <c r="G87" s="332">
        <f>'!план для правки'!G84</f>
        <v>68</v>
      </c>
      <c r="H87" s="332">
        <f>'!план для правки'!I84</f>
        <v>40</v>
      </c>
      <c r="I87" s="332">
        <f>'!план для правки'!J84</f>
        <v>0</v>
      </c>
      <c r="J87" s="329"/>
      <c r="K87" s="332">
        <f>'!план для правки'!K84</f>
        <v>2</v>
      </c>
      <c r="L87" s="344">
        <f>'!план для правки'!L84</f>
        <v>4</v>
      </c>
      <c r="M87" s="348">
        <f>'!план для правки'!N84</f>
        <v>0</v>
      </c>
      <c r="N87" s="348">
        <f>'!план для правки'!Y84</f>
        <v>0</v>
      </c>
      <c r="O87" s="348">
        <f>'!план для правки'!AJ84</f>
        <v>0</v>
      </c>
      <c r="P87" s="348">
        <f>'!план для правки'!AU84</f>
        <v>0</v>
      </c>
      <c r="Q87" s="348">
        <f>'!план для правки'!BF84</f>
        <v>48</v>
      </c>
      <c r="R87" s="348">
        <f>'!план для правки'!BQ84</f>
        <v>66</v>
      </c>
      <c r="S87" s="348">
        <f>'!план для правки'!CB84</f>
        <v>0</v>
      </c>
    </row>
    <row r="88" spans="1:19" ht="30" customHeight="1" x14ac:dyDescent="0.25">
      <c r="A88" s="326" t="str">
        <f>'!план для правки'!A85</f>
        <v>МДК.06.03</v>
      </c>
      <c r="B88" s="387" t="str">
        <f>'!план для правки'!B85</f>
        <v>Устройство и функционирование информационной системы</v>
      </c>
      <c r="C88" s="348" t="str">
        <f>'!план для правки'!C85</f>
        <v>~дэ</v>
      </c>
      <c r="D88" s="351">
        <f>'!план для правки'!D85</f>
        <v>93</v>
      </c>
      <c r="E88" s="342">
        <f>'!план для правки'!E85</f>
        <v>0</v>
      </c>
      <c r="F88" s="332">
        <f>'!план для правки'!F85</f>
        <v>93</v>
      </c>
      <c r="G88" s="332">
        <f>'!план для правки'!G85</f>
        <v>63</v>
      </c>
      <c r="H88" s="332">
        <f>'!план для правки'!I85</f>
        <v>30</v>
      </c>
      <c r="I88" s="332">
        <f>'!план для правки'!J85</f>
        <v>0</v>
      </c>
      <c r="J88" s="329"/>
      <c r="K88" s="332">
        <f>'!план для правки'!K85</f>
        <v>0</v>
      </c>
      <c r="L88" s="344">
        <f>'!план для правки'!L85</f>
        <v>0</v>
      </c>
      <c r="M88" s="348">
        <f>'!план для правки'!N85</f>
        <v>0</v>
      </c>
      <c r="N88" s="348">
        <f>'!план для правки'!Y85</f>
        <v>0</v>
      </c>
      <c r="O88" s="348">
        <f>'!план для правки'!AJ85</f>
        <v>53</v>
      </c>
      <c r="P88" s="348">
        <f>'!план для правки'!AU85</f>
        <v>40</v>
      </c>
      <c r="Q88" s="348">
        <f>'!план для правки'!BF85</f>
        <v>0</v>
      </c>
      <c r="R88" s="348">
        <f>'!план для правки'!BQ85</f>
        <v>0</v>
      </c>
      <c r="S88" s="348">
        <f>'!план для правки'!CB85</f>
        <v>0</v>
      </c>
    </row>
    <row r="89" spans="1:19" ht="27.75" customHeight="1" x14ac:dyDescent="0.25">
      <c r="A89" s="326" t="str">
        <f>'!план для правки'!A86</f>
        <v>МДК.06.04</v>
      </c>
      <c r="B89" s="387" t="str">
        <f>'!план для правки'!B86</f>
        <v>Интеллектуальные системы и технологии</v>
      </c>
      <c r="C89" s="348" t="str">
        <f>'!план для правки'!C86</f>
        <v>~ компл.экз. с МДК06.01,06.02</v>
      </c>
      <c r="D89" s="351">
        <f>'!план для правки'!D86</f>
        <v>59</v>
      </c>
      <c r="E89" s="342">
        <f>'!план для правки'!E86</f>
        <v>0</v>
      </c>
      <c r="F89" s="332">
        <f>'!план для правки'!F86</f>
        <v>54</v>
      </c>
      <c r="G89" s="332">
        <f>'!план для правки'!G86</f>
        <v>34</v>
      </c>
      <c r="H89" s="332">
        <f>'!план для правки'!I86</f>
        <v>20</v>
      </c>
      <c r="I89" s="332">
        <f>'!план для правки'!J86</f>
        <v>0</v>
      </c>
      <c r="J89" s="329"/>
      <c r="K89" s="332">
        <f>'!план для правки'!K86</f>
        <v>2</v>
      </c>
      <c r="L89" s="344">
        <f>'!план для правки'!L86</f>
        <v>3</v>
      </c>
      <c r="M89" s="348">
        <f>'!план для правки'!N86</f>
        <v>0</v>
      </c>
      <c r="N89" s="348">
        <f>'!план для правки'!Y86</f>
        <v>0</v>
      </c>
      <c r="O89" s="348">
        <f>'!план для правки'!AJ86</f>
        <v>0</v>
      </c>
      <c r="P89" s="348">
        <f>'!план для правки'!AU86</f>
        <v>0</v>
      </c>
      <c r="Q89" s="348">
        <f>'!план для правки'!BF86</f>
        <v>0</v>
      </c>
      <c r="R89" s="348">
        <f>'!план для правки'!BQ86</f>
        <v>59</v>
      </c>
      <c r="S89" s="348">
        <f>'!план для правки'!CB86</f>
        <v>0</v>
      </c>
    </row>
    <row r="90" spans="1:19" x14ac:dyDescent="0.25">
      <c r="A90" s="326" t="str">
        <f>'!план для правки'!A87</f>
        <v>УП.06</v>
      </c>
      <c r="B90" s="387" t="str">
        <f>'!план для правки'!B87</f>
        <v>Учебная практика</v>
      </c>
      <c r="C90" s="351" t="str">
        <f>'!план для правки'!C87</f>
        <v>дз</v>
      </c>
      <c r="D90" s="351">
        <f>'!план для правки'!D87</f>
        <v>144</v>
      </c>
      <c r="E90" s="342">
        <f>'!план для правки'!E87</f>
        <v>0</v>
      </c>
      <c r="F90" s="332">
        <f>'!план для правки'!F87</f>
        <v>144</v>
      </c>
      <c r="G90" s="332">
        <f>'!план для правки'!G87</f>
        <v>0</v>
      </c>
      <c r="H90" s="332">
        <f>'!план для правки'!I87</f>
        <v>144</v>
      </c>
      <c r="I90" s="332">
        <f>'!план для правки'!J87</f>
        <v>0</v>
      </c>
      <c r="J90" s="329"/>
      <c r="K90" s="332">
        <f>'!план для правки'!K87</f>
        <v>0</v>
      </c>
      <c r="L90" s="344">
        <f>'!план для правки'!L87</f>
        <v>0</v>
      </c>
      <c r="M90" s="348">
        <f>'!план для правки'!N87</f>
        <v>0</v>
      </c>
      <c r="N90" s="348">
        <f>'!план для правки'!Y87</f>
        <v>0</v>
      </c>
      <c r="O90" s="351">
        <f>'!план для правки'!AJ87</f>
        <v>0</v>
      </c>
      <c r="P90" s="348">
        <f>'!план для правки'!AU87</f>
        <v>0</v>
      </c>
      <c r="Q90" s="351">
        <f>'!план для правки'!BF87</f>
        <v>0</v>
      </c>
      <c r="R90" s="348">
        <f>'!план для правки'!BQ87</f>
        <v>144</v>
      </c>
      <c r="S90" s="348">
        <f>'!план для правки'!CB87</f>
        <v>0</v>
      </c>
    </row>
    <row r="91" spans="1:19" ht="22.5" customHeight="1" x14ac:dyDescent="0.25">
      <c r="A91" s="326" t="str">
        <f>'!план для правки'!A88</f>
        <v>ПП.06</v>
      </c>
      <c r="B91" s="387" t="str">
        <f>'!план для правки'!B88</f>
        <v>Производственная практика</v>
      </c>
      <c r="C91" s="351" t="str">
        <f>'!план для правки'!C88</f>
        <v>дз</v>
      </c>
      <c r="D91" s="351">
        <f>'!план для правки'!D88</f>
        <v>0</v>
      </c>
      <c r="E91" s="342">
        <f>'!план для правки'!E88</f>
        <v>0</v>
      </c>
      <c r="F91" s="332">
        <f>'!план для правки'!F88</f>
        <v>0</v>
      </c>
      <c r="G91" s="332">
        <f>'!план для правки'!G88</f>
        <v>0</v>
      </c>
      <c r="H91" s="332">
        <f>'!план для правки'!I88</f>
        <v>0</v>
      </c>
      <c r="I91" s="332">
        <f>'!план для правки'!J88</f>
        <v>0</v>
      </c>
      <c r="J91" s="329"/>
      <c r="K91" s="332">
        <f>'!план для правки'!K88</f>
        <v>0</v>
      </c>
      <c r="L91" s="344">
        <f>'!план для правки'!L88</f>
        <v>0</v>
      </c>
      <c r="M91" s="351">
        <f>'!план для правки'!N88</f>
        <v>0</v>
      </c>
      <c r="N91" s="351">
        <f>'!план для правки'!Y88</f>
        <v>0</v>
      </c>
      <c r="O91" s="351">
        <f>'!план для правки'!AJ88</f>
        <v>0</v>
      </c>
      <c r="P91" s="351">
        <f>'!план для правки'!AU88</f>
        <v>0</v>
      </c>
      <c r="Q91" s="351">
        <f>'!план для правки'!BF88</f>
        <v>0</v>
      </c>
      <c r="R91" s="351">
        <f>'!план для правки'!BQ88</f>
        <v>0</v>
      </c>
      <c r="S91" s="351">
        <f>'!план для правки'!CB88</f>
        <v>0</v>
      </c>
    </row>
    <row r="92" spans="1:19" ht="18.75" customHeight="1" x14ac:dyDescent="0.25">
      <c r="A92" s="326">
        <f>'!план для правки'!A89</f>
        <v>0</v>
      </c>
      <c r="B92" s="387" t="str">
        <f>'!план для правки'!B89</f>
        <v>Квалификационный экзамен</v>
      </c>
      <c r="C92" s="351" t="str">
        <f>'!план для правки'!C89</f>
        <v>кэ</v>
      </c>
      <c r="D92" s="351">
        <f>'!план для правки'!D89</f>
        <v>11</v>
      </c>
      <c r="E92" s="342">
        <f>'!план для правки'!E89</f>
        <v>0</v>
      </c>
      <c r="F92" s="332">
        <f>'!план для правки'!F89</f>
        <v>0</v>
      </c>
      <c r="G92" s="332">
        <f>'!план для правки'!G89</f>
        <v>0</v>
      </c>
      <c r="H92" s="332">
        <f>'!план для правки'!I89</f>
        <v>0</v>
      </c>
      <c r="I92" s="332">
        <f>'!план для правки'!J89</f>
        <v>0</v>
      </c>
      <c r="J92" s="329"/>
      <c r="K92" s="332">
        <f>'!план для правки'!K89</f>
        <v>4</v>
      </c>
      <c r="L92" s="344">
        <f>'!план для правки'!L89</f>
        <v>7</v>
      </c>
      <c r="M92" s="351">
        <f>'!план для правки'!N89</f>
        <v>0</v>
      </c>
      <c r="N92" s="351">
        <f>'!план для правки'!Y89</f>
        <v>0</v>
      </c>
      <c r="O92" s="351">
        <f>'!план для правки'!AJ89</f>
        <v>0</v>
      </c>
      <c r="P92" s="351">
        <f>'!план для правки'!AU89</f>
        <v>0</v>
      </c>
      <c r="Q92" s="351">
        <f>'!план для правки'!BF89</f>
        <v>0</v>
      </c>
      <c r="R92" s="351">
        <f>'!план для правки'!BQ89</f>
        <v>11</v>
      </c>
      <c r="S92" s="351">
        <f>'!план для правки'!CB89</f>
        <v>0</v>
      </c>
    </row>
    <row r="93" spans="1:19" ht="9.75" customHeight="1" thickBot="1" x14ac:dyDescent="0.3">
      <c r="A93" s="385">
        <f>'!план для правки'!A90</f>
        <v>0</v>
      </c>
      <c r="B93" s="388">
        <f>'!план для правки'!B90</f>
        <v>0</v>
      </c>
      <c r="C93" s="380">
        <f>'!план для правки'!C90</f>
        <v>0</v>
      </c>
      <c r="D93" s="380">
        <f>'!план для правки'!D90</f>
        <v>0</v>
      </c>
      <c r="E93" s="381">
        <f>'!план для правки'!E90</f>
        <v>0</v>
      </c>
      <c r="F93" s="382">
        <f>'!план для правки'!F90</f>
        <v>0</v>
      </c>
      <c r="G93" s="382">
        <f>'!план для правки'!G90</f>
        <v>0</v>
      </c>
      <c r="H93" s="382">
        <f>'!план для правки'!I90</f>
        <v>0</v>
      </c>
      <c r="I93" s="382">
        <f>'!план для правки'!J90</f>
        <v>0</v>
      </c>
      <c r="J93" s="383"/>
      <c r="K93" s="382">
        <f>'!план для правки'!K90</f>
        <v>0</v>
      </c>
      <c r="L93" s="384">
        <f>'!план для правки'!L90</f>
        <v>0</v>
      </c>
      <c r="M93" s="380">
        <f>'!план для правки'!N90</f>
        <v>0</v>
      </c>
      <c r="N93" s="380">
        <f>'!план для правки'!Y90</f>
        <v>0</v>
      </c>
      <c r="O93" s="380">
        <f>'!план для правки'!AJ90</f>
        <v>0</v>
      </c>
      <c r="P93" s="380">
        <f>'!план для правки'!AU90</f>
        <v>0</v>
      </c>
      <c r="Q93" s="380">
        <f>'!план для правки'!BF90</f>
        <v>0</v>
      </c>
      <c r="R93" s="380">
        <f>'!план для правки'!BQ90</f>
        <v>0</v>
      </c>
      <c r="S93" s="380">
        <f>'!план для правки'!CB90</f>
        <v>0</v>
      </c>
    </row>
    <row r="94" spans="1:19" s="328" customFormat="1" ht="45" customHeight="1" x14ac:dyDescent="0.25">
      <c r="A94" s="358" t="str">
        <f>'!план для правки'!A91</f>
        <v>ПМ.07</v>
      </c>
      <c r="B94" s="389" t="str">
        <f>'!план для правки'!B91</f>
        <v>ПМ07. Соадминистрирование и автоматизация баз данных и серверов</v>
      </c>
      <c r="C94" s="357">
        <f>'!план для правки'!C91</f>
        <v>0</v>
      </c>
      <c r="D94" s="357">
        <f>'!план для правки'!D91</f>
        <v>278</v>
      </c>
      <c r="E94" s="367">
        <f>'!план для правки'!E91</f>
        <v>0</v>
      </c>
      <c r="F94" s="359">
        <f>'!план для правки'!F91</f>
        <v>262</v>
      </c>
      <c r="G94" s="359">
        <f>'!план для правки'!G91</f>
        <v>68</v>
      </c>
      <c r="H94" s="359">
        <f>'!план для правки'!I91</f>
        <v>194</v>
      </c>
      <c r="I94" s="359">
        <f>'!план для правки'!J91</f>
        <v>15</v>
      </c>
      <c r="J94" s="359">
        <f>D98+D97</f>
        <v>144</v>
      </c>
      <c r="K94" s="359">
        <f>'!план для правки'!K91</f>
        <v>6</v>
      </c>
      <c r="L94" s="361">
        <f>'!план для правки'!L91</f>
        <v>10</v>
      </c>
      <c r="M94" s="357">
        <f>'!план для правки'!N91</f>
        <v>0</v>
      </c>
      <c r="N94" s="357">
        <f>'!план для правки'!Y91</f>
        <v>0</v>
      </c>
      <c r="O94" s="357">
        <f>'!план для правки'!AJ91</f>
        <v>0</v>
      </c>
      <c r="P94" s="357">
        <f>'!план для правки'!AU91</f>
        <v>0</v>
      </c>
      <c r="Q94" s="357">
        <f>'!план для правки'!BF91</f>
        <v>0</v>
      </c>
      <c r="R94" s="357">
        <f>'!план для правки'!BQ91</f>
        <v>0</v>
      </c>
      <c r="S94" s="357">
        <f>'!план для правки'!CB91</f>
        <v>278</v>
      </c>
    </row>
    <row r="95" spans="1:19" ht="33" customHeight="1" x14ac:dyDescent="0.25">
      <c r="A95" s="326" t="str">
        <f>'!план для правки'!A92</f>
        <v>МДК.07.01</v>
      </c>
      <c r="B95" s="387" t="str">
        <f>'!план для правки'!B92</f>
        <v>Управление и автоматизация баз данных</v>
      </c>
      <c r="C95" s="351" t="str">
        <f>'!план для правки'!C92</f>
        <v>э</v>
      </c>
      <c r="D95" s="351">
        <f>'!план для правки'!D92</f>
        <v>82</v>
      </c>
      <c r="E95" s="342">
        <f>'!план для правки'!E92</f>
        <v>0</v>
      </c>
      <c r="F95" s="332">
        <f>'!план для правки'!F92</f>
        <v>78</v>
      </c>
      <c r="G95" s="332">
        <f>'!план для правки'!G92</f>
        <v>38</v>
      </c>
      <c r="H95" s="332">
        <f>'!план для правки'!I92</f>
        <v>40</v>
      </c>
      <c r="I95" s="332"/>
      <c r="J95" s="329"/>
      <c r="K95" s="332">
        <f>'!план для правки'!K92</f>
        <v>1</v>
      </c>
      <c r="L95" s="344">
        <f>'!план для правки'!L92</f>
        <v>3</v>
      </c>
      <c r="M95" s="351">
        <f>'!план для правки'!N92</f>
        <v>0</v>
      </c>
      <c r="N95" s="351">
        <f>'!план для правки'!Y92</f>
        <v>0</v>
      </c>
      <c r="O95" s="351">
        <f>'!план для правки'!AJ92</f>
        <v>0</v>
      </c>
      <c r="P95" s="351">
        <f>'!план для правки'!AU92</f>
        <v>0</v>
      </c>
      <c r="Q95" s="351">
        <f>'!план для правки'!BF92</f>
        <v>0</v>
      </c>
      <c r="R95" s="351">
        <f>'!план для правки'!BQ92</f>
        <v>0</v>
      </c>
      <c r="S95" s="351">
        <f>'!план для правки'!CB92</f>
        <v>82</v>
      </c>
    </row>
    <row r="96" spans="1:19" ht="31.5" x14ac:dyDescent="0.25">
      <c r="A96" s="326" t="str">
        <f>'!план для правки'!A93</f>
        <v>МДК.07.02</v>
      </c>
      <c r="B96" s="387" t="str">
        <f>'!план для правки'!B93</f>
        <v>Сертификация информационных систем</v>
      </c>
      <c r="C96" s="351" t="str">
        <f>'!план для правки'!C93</f>
        <v>э</v>
      </c>
      <c r="D96" s="351">
        <f>'!план для правки'!D93</f>
        <v>44</v>
      </c>
      <c r="E96" s="342">
        <f>'!план для правки'!E93</f>
        <v>0</v>
      </c>
      <c r="F96" s="332">
        <f>'!план для правки'!F93</f>
        <v>40</v>
      </c>
      <c r="G96" s="332">
        <f>'!план для правки'!G93</f>
        <v>30</v>
      </c>
      <c r="H96" s="332">
        <f>'!план для правки'!I93</f>
        <v>10</v>
      </c>
      <c r="I96" s="332">
        <f>'!план для правки'!J93</f>
        <v>0</v>
      </c>
      <c r="J96" s="329"/>
      <c r="K96" s="332">
        <f>'!план для правки'!K93</f>
        <v>1</v>
      </c>
      <c r="L96" s="344">
        <f>'!план для правки'!L93</f>
        <v>3</v>
      </c>
      <c r="M96" s="351">
        <f>'!план для правки'!N93</f>
        <v>0</v>
      </c>
      <c r="N96" s="351">
        <f>'!план для правки'!Y93</f>
        <v>0</v>
      </c>
      <c r="O96" s="351">
        <f>'!план для правки'!AJ93</f>
        <v>0</v>
      </c>
      <c r="P96" s="351">
        <f>'!план для правки'!AU93</f>
        <v>0</v>
      </c>
      <c r="Q96" s="351">
        <f>'!план для правки'!BF93</f>
        <v>0</v>
      </c>
      <c r="R96" s="351">
        <f>'!план для правки'!BQ93</f>
        <v>0</v>
      </c>
      <c r="S96" s="351">
        <f>'!план для правки'!CB93</f>
        <v>44</v>
      </c>
    </row>
    <row r="97" spans="1:20" x14ac:dyDescent="0.25">
      <c r="A97" s="326" t="str">
        <f>'!план для правки'!A94</f>
        <v>УП.07</v>
      </c>
      <c r="B97" s="387" t="str">
        <f>'!план для правки'!B94</f>
        <v>Учебная практика</v>
      </c>
      <c r="C97" s="351" t="str">
        <f>'!план для правки'!C94</f>
        <v>дз</v>
      </c>
      <c r="D97" s="351">
        <f>'!план для правки'!D94</f>
        <v>72</v>
      </c>
      <c r="E97" s="342">
        <f>'!план для правки'!E94</f>
        <v>0</v>
      </c>
      <c r="F97" s="332">
        <f>'!план для правки'!F94</f>
        <v>72</v>
      </c>
      <c r="G97" s="332">
        <f>'!план для правки'!G94</f>
        <v>0</v>
      </c>
      <c r="H97" s="332">
        <f>'!план для правки'!I94</f>
        <v>72</v>
      </c>
      <c r="I97" s="332">
        <f>'!план для правки'!J94</f>
        <v>0</v>
      </c>
      <c r="J97" s="329"/>
      <c r="K97" s="332">
        <f>'!план для правки'!K94</f>
        <v>0</v>
      </c>
      <c r="L97" s="344">
        <f>'!план для правки'!L94</f>
        <v>0</v>
      </c>
      <c r="M97" s="351">
        <f>'!план для правки'!N94</f>
        <v>0</v>
      </c>
      <c r="N97" s="351">
        <f>'!план для правки'!Y94</f>
        <v>0</v>
      </c>
      <c r="O97" s="351">
        <f>'!план для правки'!AJ94</f>
        <v>0</v>
      </c>
      <c r="P97" s="351">
        <f>'!план для правки'!AU94</f>
        <v>0</v>
      </c>
      <c r="Q97" s="351">
        <f>'!план для правки'!BF94</f>
        <v>0</v>
      </c>
      <c r="R97" s="351">
        <f>'!план для правки'!BQ94</f>
        <v>0</v>
      </c>
      <c r="S97" s="351">
        <f>'!план для правки'!CB94</f>
        <v>72</v>
      </c>
    </row>
    <row r="98" spans="1:20" ht="33.75" customHeight="1" x14ac:dyDescent="0.25">
      <c r="A98" s="326" t="str">
        <f>'!план для правки'!A95</f>
        <v>ПП.07</v>
      </c>
      <c r="B98" s="387" t="str">
        <f>'!план для правки'!B95</f>
        <v>Производственная практика (распределенная)</v>
      </c>
      <c r="C98" s="351" t="str">
        <f>'!план для правки'!C95</f>
        <v>з</v>
      </c>
      <c r="D98" s="342">
        <f>'!план для правки'!D95</f>
        <v>72</v>
      </c>
      <c r="E98" s="332">
        <f>'!план для правки'!E95</f>
        <v>0</v>
      </c>
      <c r="F98" s="332">
        <f>'!план для правки'!F95</f>
        <v>72</v>
      </c>
      <c r="G98" s="332">
        <f>'!план для правки'!G95</f>
        <v>0</v>
      </c>
      <c r="H98" s="332">
        <f>'!план для правки'!I95</f>
        <v>72</v>
      </c>
      <c r="I98" s="332">
        <f>'!план для правки'!J95</f>
        <v>0</v>
      </c>
      <c r="J98" s="330"/>
      <c r="K98" s="332">
        <f>'!план для правки'!K95</f>
        <v>0</v>
      </c>
      <c r="L98" s="344">
        <f>'!план для правки'!L95</f>
        <v>0</v>
      </c>
      <c r="M98" s="351">
        <f>'!план для правки'!N95</f>
        <v>0</v>
      </c>
      <c r="N98" s="351">
        <f>'!план для правки'!Y95</f>
        <v>0</v>
      </c>
      <c r="O98" s="351">
        <f>'!план для правки'!AJ95</f>
        <v>0</v>
      </c>
      <c r="P98" s="351">
        <f>'!план для правки'!AU95</f>
        <v>0</v>
      </c>
      <c r="Q98" s="351">
        <f>'!план для правки'!BF95</f>
        <v>0</v>
      </c>
      <c r="R98" s="351">
        <f>'!план для правки'!BQ95</f>
        <v>0</v>
      </c>
      <c r="S98" s="351">
        <f>'!план для правки'!CB95</f>
        <v>72</v>
      </c>
    </row>
    <row r="99" spans="1:20" ht="20.25" customHeight="1" x14ac:dyDescent="0.25">
      <c r="A99" s="326">
        <f>'!план для правки'!A96</f>
        <v>0</v>
      </c>
      <c r="B99" s="387" t="str">
        <f>'!план для правки'!B96</f>
        <v>Квалификационный экзамен</v>
      </c>
      <c r="C99" s="351" t="str">
        <f>'!план для правки'!C96</f>
        <v>кэ</v>
      </c>
      <c r="D99" s="342">
        <f>'!план для правки'!D96</f>
        <v>8</v>
      </c>
      <c r="E99" s="332">
        <f>'!план для правки'!E96</f>
        <v>0</v>
      </c>
      <c r="F99" s="332">
        <f>'!план для правки'!F96</f>
        <v>0</v>
      </c>
      <c r="G99" s="332">
        <f>'!план для правки'!G96</f>
        <v>0</v>
      </c>
      <c r="H99" s="332">
        <f>'!план для правки'!I96</f>
        <v>0</v>
      </c>
      <c r="I99" s="332">
        <f>'!план для правки'!J96</f>
        <v>0</v>
      </c>
      <c r="J99" s="330"/>
      <c r="K99" s="332">
        <f>'!план для правки'!K96</f>
        <v>4</v>
      </c>
      <c r="L99" s="344">
        <f>'!план для правки'!L96</f>
        <v>4</v>
      </c>
      <c r="M99" s="351">
        <f>'!план для правки'!N96</f>
        <v>0</v>
      </c>
      <c r="N99" s="351">
        <f>'!план для правки'!Y96</f>
        <v>0</v>
      </c>
      <c r="O99" s="351">
        <f>'!план для правки'!AJ96</f>
        <v>0</v>
      </c>
      <c r="P99" s="351">
        <f>'!план для правки'!AU96</f>
        <v>0</v>
      </c>
      <c r="Q99" s="351">
        <f>'!план для правки'!BF96</f>
        <v>0</v>
      </c>
      <c r="R99" s="351">
        <f>'!план для правки'!BQ96</f>
        <v>0</v>
      </c>
      <c r="S99" s="351">
        <f>'!план для правки'!CB96</f>
        <v>8</v>
      </c>
    </row>
    <row r="100" spans="1:20" s="328" customFormat="1" ht="16.5" thickBot="1" x14ac:dyDescent="0.3">
      <c r="A100" s="420">
        <f>'!план для правки'!A97</f>
        <v>0</v>
      </c>
      <c r="B100" s="438">
        <f>'!план для правки'!B97</f>
        <v>0</v>
      </c>
      <c r="C100" s="437">
        <f>'!план для правки'!C97</f>
        <v>0</v>
      </c>
      <c r="D100" s="422">
        <f>'!план для правки'!D97</f>
        <v>0</v>
      </c>
      <c r="E100" s="423">
        <f>'!план для правки'!E97</f>
        <v>0</v>
      </c>
      <c r="F100" s="423">
        <f>'!план для правки'!F97</f>
        <v>0</v>
      </c>
      <c r="G100" s="423">
        <f>'!план для правки'!G97</f>
        <v>0</v>
      </c>
      <c r="H100" s="423">
        <f>'!план для правки'!I97</f>
        <v>0</v>
      </c>
      <c r="I100" s="423">
        <f>'!план для правки'!J97</f>
        <v>0</v>
      </c>
      <c r="J100" s="424"/>
      <c r="K100" s="423">
        <f>'!план для правки'!K97</f>
        <v>0</v>
      </c>
      <c r="L100" s="421">
        <f>'!план для правки'!L97</f>
        <v>0</v>
      </c>
      <c r="M100" s="437">
        <f>'!план для правки'!N97</f>
        <v>0</v>
      </c>
      <c r="N100" s="437">
        <f>'!план для правки'!Y97</f>
        <v>0</v>
      </c>
      <c r="O100" s="437">
        <f>'!план для правки'!AJ97</f>
        <v>0</v>
      </c>
      <c r="P100" s="437">
        <f>'!план для правки'!AU97</f>
        <v>0</v>
      </c>
      <c r="Q100" s="437">
        <f>'!план для правки'!BF97</f>
        <v>0</v>
      </c>
      <c r="R100" s="437">
        <f>'!план для правки'!BQ97</f>
        <v>0</v>
      </c>
      <c r="S100" s="437">
        <f>'!план для правки'!CB97</f>
        <v>0</v>
      </c>
    </row>
    <row r="101" spans="1:20" s="328" customFormat="1" ht="24.75" customHeight="1" thickBot="1" x14ac:dyDescent="0.3">
      <c r="A101" s="401">
        <f>'!план для правки'!A98</f>
        <v>0</v>
      </c>
      <c r="B101" s="406" t="str">
        <f>'!план для правки'!B98</f>
        <v>Преддипломная практика</v>
      </c>
      <c r="C101" s="418">
        <f>'!план для правки'!C98</f>
        <v>0</v>
      </c>
      <c r="D101" s="405">
        <f>'!план для правки'!D98</f>
        <v>144</v>
      </c>
      <c r="E101" s="402">
        <f>'!план для правки'!E98</f>
        <v>0</v>
      </c>
      <c r="F101" s="402">
        <f>'!план для правки'!F98</f>
        <v>144</v>
      </c>
      <c r="G101" s="402">
        <f>'!план для правки'!G98</f>
        <v>0</v>
      </c>
      <c r="H101" s="402">
        <f>'!план для правки'!I98</f>
        <v>0</v>
      </c>
      <c r="I101" s="402">
        <f>'!план для правки'!J98</f>
        <v>0</v>
      </c>
      <c r="J101" s="425"/>
      <c r="K101" s="402">
        <f>'!план для правки'!K98</f>
        <v>0</v>
      </c>
      <c r="L101" s="403">
        <f>'!план для правки'!L98</f>
        <v>0</v>
      </c>
      <c r="M101" s="418">
        <f>'!план для правки'!N98</f>
        <v>0</v>
      </c>
      <c r="N101" s="418">
        <f>'!план для правки'!Y98</f>
        <v>0</v>
      </c>
      <c r="O101" s="418">
        <f>'!план для правки'!AJ98</f>
        <v>0</v>
      </c>
      <c r="P101" s="418">
        <f>'!план для правки'!AU98</f>
        <v>0</v>
      </c>
      <c r="Q101" s="418">
        <f>'!план для правки'!BF98</f>
        <v>0</v>
      </c>
      <c r="R101" s="418">
        <f>'!план для правки'!BQ98</f>
        <v>0</v>
      </c>
      <c r="S101" s="418">
        <f>'!план для правки'!CB98</f>
        <v>0</v>
      </c>
    </row>
    <row r="102" spans="1:20" s="328" customFormat="1" ht="32.25" thickBot="1" x14ac:dyDescent="0.3">
      <c r="A102" s="426">
        <f>'!план для правки'!A99</f>
        <v>0</v>
      </c>
      <c r="B102" s="439" t="str">
        <f>'!план для правки'!B99</f>
        <v>Государственная итоговая аттестация</v>
      </c>
      <c r="C102" s="399">
        <f>'!план для правки'!C99</f>
        <v>0</v>
      </c>
      <c r="D102" s="428">
        <f>'!план для правки'!D99</f>
        <v>216</v>
      </c>
      <c r="E102" s="429">
        <f>'!план для правки'!E99</f>
        <v>0</v>
      </c>
      <c r="F102" s="429">
        <f>'!план для правки'!F99</f>
        <v>216</v>
      </c>
      <c r="G102" s="429">
        <f>'!план для правки'!G99</f>
        <v>0</v>
      </c>
      <c r="H102" s="429">
        <f>'!план для правки'!I99</f>
        <v>0</v>
      </c>
      <c r="I102" s="429">
        <f>'!план для правки'!J99</f>
        <v>0</v>
      </c>
      <c r="J102" s="430"/>
      <c r="K102" s="429">
        <f>'!план для правки'!K99</f>
        <v>0</v>
      </c>
      <c r="L102" s="427">
        <f>'!план для правки'!L99</f>
        <v>0</v>
      </c>
      <c r="M102" s="399">
        <f>'!план для правки'!N99</f>
        <v>0</v>
      </c>
      <c r="N102" s="399">
        <f>'!план для правки'!Y99</f>
        <v>0</v>
      </c>
      <c r="O102" s="399">
        <f>'!план для правки'!AJ99</f>
        <v>0</v>
      </c>
      <c r="P102" s="399">
        <f>'!план для правки'!AU99</f>
        <v>0</v>
      </c>
      <c r="Q102" s="399">
        <f>'!план для правки'!BF99</f>
        <v>0</v>
      </c>
      <c r="R102" s="399">
        <f>'!план для правки'!BQ99</f>
        <v>0</v>
      </c>
      <c r="S102" s="399">
        <f>'!план для правки'!CB99</f>
        <v>0</v>
      </c>
    </row>
    <row r="103" spans="1:20" s="328" customFormat="1" ht="16.5" thickBot="1" x14ac:dyDescent="0.3">
      <c r="A103" s="435">
        <f>'!план для правки'!A100</f>
        <v>0</v>
      </c>
      <c r="B103" s="406" t="str">
        <f>'!план для правки'!B100</f>
        <v>Всего</v>
      </c>
      <c r="C103" s="418">
        <f>'!план для правки'!C100</f>
        <v>0</v>
      </c>
      <c r="D103" s="405">
        <f>'!план для правки'!D100</f>
        <v>5940</v>
      </c>
      <c r="E103" s="402">
        <f>'!план для правки'!E100</f>
        <v>0</v>
      </c>
      <c r="F103" s="402">
        <f>'!план для правки'!F100</f>
        <v>5580</v>
      </c>
      <c r="G103" s="402">
        <f>'!план для правки'!G100</f>
        <v>3565</v>
      </c>
      <c r="H103" s="402">
        <f>'!план для правки'!I100</f>
        <v>1703</v>
      </c>
      <c r="I103" s="402">
        <f>'!план для правки'!J100</f>
        <v>60</v>
      </c>
      <c r="J103" s="436"/>
      <c r="K103" s="402">
        <f>'!план для правки'!K100</f>
        <v>96</v>
      </c>
      <c r="L103" s="403">
        <f>'!план для правки'!L100</f>
        <v>156</v>
      </c>
      <c r="M103" s="418">
        <f>'!план для правки'!N100</f>
        <v>612</v>
      </c>
      <c r="N103" s="418">
        <f>'!план для правки'!Y100</f>
        <v>864</v>
      </c>
      <c r="O103" s="418">
        <f>'!план для правки'!AJ100</f>
        <v>612</v>
      </c>
      <c r="P103" s="418">
        <f>'!план для правки'!AU100</f>
        <v>864</v>
      </c>
      <c r="Q103" s="418">
        <f>'!план для правки'!BF100</f>
        <v>612</v>
      </c>
      <c r="R103" s="418">
        <f>'!план для правки'!BQ100</f>
        <v>900</v>
      </c>
      <c r="S103" s="418">
        <f>'!план для правки'!CB100</f>
        <v>1116</v>
      </c>
    </row>
    <row r="104" spans="1:20" x14ac:dyDescent="0.25">
      <c r="A104" s="323">
        <f>'!план для правки'!A101</f>
        <v>0</v>
      </c>
      <c r="B104" s="431">
        <f>'!план для правки'!B101</f>
        <v>0</v>
      </c>
      <c r="C104" s="432">
        <f>'!план для правки'!C101</f>
        <v>0</v>
      </c>
      <c r="D104" s="433">
        <f>'!план для правки'!D101</f>
        <v>0</v>
      </c>
      <c r="E104" s="434">
        <f>'!план для правки'!E101</f>
        <v>0</v>
      </c>
      <c r="F104" s="434">
        <f>'!план для правки'!F101</f>
        <v>0</v>
      </c>
      <c r="G104" s="434">
        <f>'!план для правки'!G101</f>
        <v>0</v>
      </c>
      <c r="H104" s="434">
        <f>'!план для правки'!I101</f>
        <v>0</v>
      </c>
      <c r="I104" s="434">
        <f>'!план для правки'!J101</f>
        <v>0</v>
      </c>
      <c r="K104" s="434">
        <f>'!план для правки'!K101</f>
        <v>0</v>
      </c>
      <c r="L104" s="434">
        <f>'!план для правки'!L101</f>
        <v>0</v>
      </c>
      <c r="M104" s="434">
        <f>'!план для правки'!N101</f>
        <v>17</v>
      </c>
      <c r="N104" s="434">
        <f>'!план для правки'!Y101</f>
        <v>24</v>
      </c>
      <c r="O104" s="434">
        <f>'!план для правки'!AJ101</f>
        <v>17</v>
      </c>
      <c r="P104" s="434">
        <f>'!план для правки'!AU101</f>
        <v>24</v>
      </c>
      <c r="Q104" s="434">
        <f>'!план для правки'!BF101</f>
        <v>17</v>
      </c>
      <c r="R104" s="432">
        <f>'!план для правки'!BQ101</f>
        <v>25</v>
      </c>
      <c r="S104" s="433">
        <f>'!план для правки'!CB101</f>
        <v>31</v>
      </c>
    </row>
    <row r="105" spans="1:20" x14ac:dyDescent="0.25">
      <c r="A105" s="323"/>
      <c r="B105" s="327"/>
      <c r="C105" s="419"/>
      <c r="D105" s="334"/>
      <c r="E105" s="334"/>
      <c r="F105" s="334"/>
      <c r="G105" s="334"/>
      <c r="H105" s="334"/>
      <c r="I105" s="334"/>
      <c r="J105" s="335"/>
      <c r="K105" s="334"/>
      <c r="L105" s="334"/>
      <c r="M105" s="334"/>
      <c r="N105" s="334"/>
      <c r="O105" s="334"/>
      <c r="P105" s="334"/>
      <c r="Q105" s="334"/>
      <c r="R105" s="334"/>
      <c r="S105" s="334"/>
      <c r="T105" s="310"/>
    </row>
    <row r="106" spans="1:20" x14ac:dyDescent="0.25">
      <c r="A106" s="323"/>
      <c r="B106" s="327"/>
      <c r="C106" s="334"/>
      <c r="D106" s="334"/>
      <c r="E106" s="334"/>
      <c r="F106" s="334"/>
      <c r="G106" s="334"/>
      <c r="H106" s="334"/>
      <c r="I106" s="334"/>
      <c r="J106" s="335"/>
      <c r="K106" s="334"/>
      <c r="L106" s="334"/>
      <c r="M106" s="334"/>
      <c r="N106" s="334"/>
      <c r="O106" s="334"/>
      <c r="P106" s="334"/>
      <c r="Q106" s="334"/>
      <c r="R106" s="334"/>
      <c r="S106" s="334"/>
      <c r="T106" s="310"/>
    </row>
    <row r="107" spans="1:20" x14ac:dyDescent="0.25">
      <c r="A107" s="323"/>
      <c r="B107" s="327"/>
      <c r="C107" s="334"/>
      <c r="D107" s="334"/>
      <c r="E107" s="334"/>
      <c r="F107" s="334"/>
      <c r="G107" s="334"/>
      <c r="H107" s="334"/>
      <c r="I107" s="334"/>
      <c r="J107" s="335"/>
      <c r="K107" s="334"/>
      <c r="L107" s="334"/>
      <c r="M107" s="334"/>
      <c r="N107" s="334"/>
      <c r="O107" s="334"/>
      <c r="P107" s="334"/>
      <c r="Q107" s="334"/>
      <c r="R107" s="334"/>
      <c r="S107" s="334"/>
      <c r="T107" s="310"/>
    </row>
    <row r="108" spans="1:20" x14ac:dyDescent="0.25">
      <c r="A108" s="323"/>
      <c r="B108" s="327"/>
      <c r="C108" s="334"/>
      <c r="D108" s="334"/>
      <c r="E108" s="334"/>
      <c r="F108" s="334"/>
      <c r="G108" s="334"/>
      <c r="H108" s="334"/>
      <c r="I108" s="334"/>
      <c r="J108" s="335"/>
      <c r="K108" s="334"/>
      <c r="L108" s="334"/>
      <c r="M108" s="334"/>
      <c r="N108" s="334"/>
      <c r="O108" s="334"/>
      <c r="P108" s="334"/>
      <c r="Q108" s="334"/>
      <c r="R108" s="334"/>
      <c r="S108" s="334"/>
      <c r="T108" s="310"/>
    </row>
    <row r="109" spans="1:20" x14ac:dyDescent="0.25">
      <c r="A109" s="323"/>
      <c r="B109" s="327"/>
      <c r="C109" s="334"/>
      <c r="D109" s="334"/>
      <c r="E109" s="334"/>
      <c r="F109" s="334"/>
      <c r="G109" s="334"/>
      <c r="H109" s="334"/>
      <c r="I109" s="334"/>
      <c r="J109" s="335"/>
      <c r="K109" s="334"/>
      <c r="L109" s="334"/>
      <c r="M109" s="334"/>
      <c r="N109" s="334"/>
      <c r="O109" s="334"/>
      <c r="P109" s="334"/>
      <c r="Q109" s="334"/>
      <c r="R109" s="334"/>
      <c r="S109" s="334"/>
      <c r="T109" s="310"/>
    </row>
    <row r="110" spans="1:20" x14ac:dyDescent="0.25">
      <c r="A110" s="323"/>
      <c r="B110" s="327"/>
      <c r="C110" s="335"/>
      <c r="D110" s="334"/>
      <c r="E110" s="334"/>
      <c r="F110" s="334"/>
      <c r="G110" s="334"/>
      <c r="H110" s="334"/>
      <c r="I110" s="334"/>
      <c r="J110" s="335"/>
      <c r="K110" s="334"/>
      <c r="L110" s="334"/>
      <c r="M110" s="335"/>
      <c r="N110" s="335"/>
      <c r="O110" s="335"/>
      <c r="P110" s="335"/>
      <c r="Q110" s="335"/>
      <c r="R110" s="334"/>
      <c r="S110" s="334"/>
      <c r="T110" s="310"/>
    </row>
  </sheetData>
  <sheetProtection password="8B69" sheet="1" insertColumns="0" insertRows="0" insertHyperlinks="0" deleteColumns="0" deleteRows="0" sort="0" autoFilter="0" pivotTables="0"/>
  <mergeCells count="22">
    <mergeCell ref="M2:S2"/>
    <mergeCell ref="Q3:R3"/>
    <mergeCell ref="G6:G8"/>
    <mergeCell ref="H6:H8"/>
    <mergeCell ref="I6:I8"/>
    <mergeCell ref="G5:I5"/>
    <mergeCell ref="F3:L3"/>
    <mergeCell ref="M3:N3"/>
    <mergeCell ref="O3:P3"/>
    <mergeCell ref="F4:I4"/>
    <mergeCell ref="J4:J8"/>
    <mergeCell ref="K4:K8"/>
    <mergeCell ref="L4:L8"/>
    <mergeCell ref="C86:C87"/>
    <mergeCell ref="A1:G1"/>
    <mergeCell ref="A2:A8"/>
    <mergeCell ref="B2:B8"/>
    <mergeCell ref="C2:C8"/>
    <mergeCell ref="D2:D8"/>
    <mergeCell ref="E2:L2"/>
    <mergeCell ref="F5:F8"/>
    <mergeCell ref="E3:E8"/>
  </mergeCells>
  <pageMargins left="0.7" right="0.7" top="0.75" bottom="0.75" header="0.3" footer="0.3"/>
  <pageSetup paperSize="9" scale="85" orientation="landscape" r:id="rId1"/>
  <rowBreaks count="3" manualBreakCount="3">
    <brk id="28" max="18" man="1"/>
    <brk id="74" max="18" man="1"/>
    <brk id="93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71DC-31A0-40C6-84D2-62F0199B989D}">
  <dimension ref="A1:H18"/>
  <sheetViews>
    <sheetView view="pageLayout" topLeftCell="A7" zoomScaleNormal="100" workbookViewId="0">
      <selection activeCell="A13" sqref="A13:H13"/>
    </sheetView>
  </sheetViews>
  <sheetFormatPr defaultRowHeight="15.75" x14ac:dyDescent="0.25"/>
  <sheetData>
    <row r="1" spans="1:8" ht="32.25" customHeight="1" x14ac:dyDescent="0.25">
      <c r="A1" s="562" t="s">
        <v>372</v>
      </c>
      <c r="B1" s="562"/>
      <c r="C1" s="562"/>
      <c r="D1" s="562"/>
      <c r="E1" s="562"/>
      <c r="F1" s="562"/>
      <c r="G1" s="562"/>
      <c r="H1" s="562"/>
    </row>
    <row r="2" spans="1:8" x14ac:dyDescent="0.25">
      <c r="A2" s="563" t="s">
        <v>380</v>
      </c>
      <c r="B2" s="563"/>
      <c r="C2" s="563"/>
      <c r="D2" s="563"/>
      <c r="E2" s="563"/>
      <c r="F2" s="563"/>
      <c r="G2" s="563"/>
      <c r="H2" s="563"/>
    </row>
    <row r="3" spans="1:8" x14ac:dyDescent="0.25">
      <c r="A3" s="563" t="s">
        <v>381</v>
      </c>
      <c r="B3" s="563"/>
      <c r="C3" s="563"/>
      <c r="D3" s="563"/>
      <c r="E3" s="563"/>
      <c r="F3" s="563"/>
      <c r="G3" s="563"/>
      <c r="H3" s="563"/>
    </row>
    <row r="4" spans="1:8" x14ac:dyDescent="0.25">
      <c r="A4" s="563" t="s">
        <v>382</v>
      </c>
      <c r="B4" s="563"/>
      <c r="C4" s="563"/>
      <c r="D4" s="563"/>
      <c r="E4" s="563"/>
      <c r="F4" s="563"/>
      <c r="G4" s="563"/>
      <c r="H4" s="563"/>
    </row>
    <row r="5" spans="1:8" x14ac:dyDescent="0.25">
      <c r="A5" s="563" t="s">
        <v>383</v>
      </c>
      <c r="B5" s="563"/>
      <c r="C5" s="563"/>
      <c r="D5" s="563"/>
      <c r="E5" s="563"/>
      <c r="F5" s="563"/>
      <c r="G5" s="563"/>
      <c r="H5" s="563"/>
    </row>
    <row r="6" spans="1:8" x14ac:dyDescent="0.25">
      <c r="A6" s="563" t="s">
        <v>384</v>
      </c>
      <c r="B6" s="563"/>
      <c r="C6" s="563"/>
      <c r="D6" s="563"/>
      <c r="E6" s="563"/>
      <c r="F6" s="563"/>
      <c r="G6" s="563"/>
      <c r="H6" s="563"/>
    </row>
    <row r="7" spans="1:8" x14ac:dyDescent="0.25">
      <c r="A7" s="563" t="s">
        <v>385</v>
      </c>
      <c r="B7" s="563"/>
      <c r="C7" s="563"/>
      <c r="D7" s="563"/>
      <c r="E7" s="563"/>
      <c r="F7" s="563"/>
      <c r="G7" s="563"/>
      <c r="H7" s="563"/>
    </row>
    <row r="8" spans="1:8" x14ac:dyDescent="0.25">
      <c r="A8" s="563" t="s">
        <v>386</v>
      </c>
      <c r="B8" s="563"/>
      <c r="C8" s="563"/>
      <c r="D8" s="563"/>
      <c r="E8" s="563"/>
      <c r="F8" s="563"/>
      <c r="G8" s="563"/>
      <c r="H8" s="563"/>
    </row>
    <row r="9" spans="1:8" x14ac:dyDescent="0.25">
      <c r="A9" s="564"/>
      <c r="B9" s="564"/>
      <c r="C9" s="564"/>
      <c r="D9" s="564"/>
      <c r="E9" s="564"/>
      <c r="F9" s="564"/>
      <c r="G9" s="564"/>
      <c r="H9" s="564"/>
    </row>
    <row r="10" spans="1:8" ht="34.5" customHeight="1" x14ac:dyDescent="0.25">
      <c r="A10" s="562" t="s">
        <v>373</v>
      </c>
      <c r="B10" s="562"/>
      <c r="C10" s="562"/>
      <c r="D10" s="562"/>
      <c r="E10" s="562"/>
      <c r="F10" s="562"/>
      <c r="G10" s="562"/>
      <c r="H10" s="562"/>
    </row>
    <row r="11" spans="1:8" x14ac:dyDescent="0.25">
      <c r="A11" s="443" t="s">
        <v>387</v>
      </c>
      <c r="B11" s="444"/>
      <c r="C11" s="444"/>
      <c r="D11" s="444"/>
      <c r="E11" s="444"/>
      <c r="F11" s="444"/>
      <c r="G11" s="444"/>
      <c r="H11" s="444"/>
    </row>
    <row r="12" spans="1:8" x14ac:dyDescent="0.25">
      <c r="A12" s="563" t="s">
        <v>388</v>
      </c>
      <c r="B12" s="563"/>
      <c r="C12" s="563"/>
      <c r="D12" s="563"/>
      <c r="E12" s="563"/>
      <c r="F12" s="563"/>
      <c r="G12" s="563"/>
      <c r="H12" s="563"/>
    </row>
    <row r="13" spans="1:8" x14ac:dyDescent="0.25">
      <c r="A13" s="563" t="s">
        <v>389</v>
      </c>
      <c r="B13" s="563"/>
      <c r="C13" s="563"/>
      <c r="D13" s="563"/>
      <c r="E13" s="563"/>
      <c r="F13" s="563"/>
      <c r="G13" s="563"/>
      <c r="H13" s="563"/>
    </row>
    <row r="14" spans="1:8" ht="30" customHeight="1" x14ac:dyDescent="0.25">
      <c r="A14" s="562" t="s">
        <v>374</v>
      </c>
      <c r="B14" s="562"/>
      <c r="C14" s="562"/>
      <c r="D14" s="562"/>
      <c r="E14" s="562"/>
      <c r="F14" s="562"/>
      <c r="G14" s="562"/>
      <c r="H14" s="562"/>
    </row>
    <row r="15" spans="1:8" ht="32.25" customHeight="1" x14ac:dyDescent="0.25">
      <c r="A15" s="562" t="s">
        <v>375</v>
      </c>
      <c r="B15" s="562"/>
      <c r="C15" s="562"/>
      <c r="D15" s="562"/>
      <c r="E15" s="562"/>
      <c r="F15" s="562"/>
      <c r="G15" s="562"/>
      <c r="H15" s="562"/>
    </row>
    <row r="16" spans="1:8" ht="30" customHeight="1" x14ac:dyDescent="0.25">
      <c r="A16" s="562" t="s">
        <v>376</v>
      </c>
      <c r="B16" s="562"/>
      <c r="C16" s="562"/>
      <c r="D16" s="562"/>
      <c r="E16" s="562"/>
      <c r="F16" s="562"/>
      <c r="G16" s="562"/>
      <c r="H16" s="562"/>
    </row>
    <row r="17" spans="1:8" ht="33" customHeight="1" x14ac:dyDescent="0.25">
      <c r="A17" s="562" t="s">
        <v>377</v>
      </c>
      <c r="B17" s="562"/>
      <c r="C17" s="562"/>
      <c r="D17" s="562"/>
      <c r="E17" s="562"/>
      <c r="F17" s="562"/>
      <c r="G17" s="562"/>
      <c r="H17" s="562"/>
    </row>
    <row r="18" spans="1:8" x14ac:dyDescent="0.25">
      <c r="A18" s="442"/>
    </row>
  </sheetData>
  <mergeCells count="16">
    <mergeCell ref="A6:H6"/>
    <mergeCell ref="A7:H7"/>
    <mergeCell ref="A8:H8"/>
    <mergeCell ref="A9:H9"/>
    <mergeCell ref="A1:H1"/>
    <mergeCell ref="A2:H2"/>
    <mergeCell ref="A3:H3"/>
    <mergeCell ref="A4:H4"/>
    <mergeCell ref="A5:H5"/>
    <mergeCell ref="A17:H17"/>
    <mergeCell ref="A10:H10"/>
    <mergeCell ref="A12:H12"/>
    <mergeCell ref="A13:H13"/>
    <mergeCell ref="A14:H14"/>
    <mergeCell ref="A15:H15"/>
    <mergeCell ref="A16:H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4"/>
  <sheetViews>
    <sheetView showZeros="0" topLeftCell="B1" zoomScale="90" zoomScaleNormal="90" workbookViewId="0">
      <pane xSplit="1" ySplit="4" topLeftCell="C68" activePane="bottomRight" state="frozen"/>
      <selection activeCell="B1" sqref="B1"/>
      <selection pane="topRight" activeCell="C1" sqref="C1"/>
      <selection pane="bottomLeft" activeCell="B5" sqref="B5"/>
      <selection pane="bottomRight" activeCell="H93" sqref="H93"/>
    </sheetView>
  </sheetViews>
  <sheetFormatPr defaultRowHeight="15.75" x14ac:dyDescent="0.25"/>
  <cols>
    <col min="1" max="1" width="10.75" style="14" customWidth="1"/>
    <col min="2" max="2" width="39" style="37" customWidth="1"/>
    <col min="3" max="3" width="6.5" style="14" customWidth="1"/>
    <col min="4" max="4" width="6" style="14" customWidth="1"/>
    <col min="5" max="5" width="4.25" style="14" customWidth="1"/>
    <col min="6" max="6" width="9" style="14"/>
    <col min="7" max="7" width="10.25" style="14" customWidth="1"/>
    <col min="8" max="8" width="10.625" style="14" customWidth="1"/>
    <col min="9" max="9" width="8.125" style="14" customWidth="1"/>
    <col min="10" max="11" width="7.375" style="14" customWidth="1"/>
    <col min="12" max="16384" width="9" style="14"/>
  </cols>
  <sheetData>
    <row r="1" spans="1:17" x14ac:dyDescent="0.25">
      <c r="A1" s="483" t="s">
        <v>34</v>
      </c>
      <c r="B1" s="581" t="s">
        <v>1</v>
      </c>
      <c r="C1" s="574" t="s">
        <v>35</v>
      </c>
      <c r="D1" s="579" t="s">
        <v>36</v>
      </c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9"/>
    </row>
    <row r="2" spans="1:17" ht="15.75" customHeight="1" x14ac:dyDescent="0.25">
      <c r="A2" s="484"/>
      <c r="B2" s="582"/>
      <c r="C2" s="577"/>
      <c r="D2" s="574" t="s">
        <v>37</v>
      </c>
      <c r="E2" s="574" t="s">
        <v>38</v>
      </c>
      <c r="F2" s="586" t="s">
        <v>39</v>
      </c>
      <c r="G2" s="587"/>
      <c r="H2" s="587"/>
      <c r="I2" s="588"/>
      <c r="J2" s="584" t="s">
        <v>0</v>
      </c>
      <c r="K2" s="585"/>
      <c r="L2" s="585"/>
      <c r="M2" s="585"/>
      <c r="N2" s="585"/>
      <c r="O2" s="585"/>
      <c r="P2" s="585"/>
      <c r="Q2" s="9"/>
    </row>
    <row r="3" spans="1:17" ht="15.75" customHeight="1" x14ac:dyDescent="0.25">
      <c r="A3" s="484"/>
      <c r="B3" s="582"/>
      <c r="C3" s="577"/>
      <c r="D3" s="577"/>
      <c r="E3" s="575"/>
      <c r="F3" s="565" t="s">
        <v>40</v>
      </c>
      <c r="G3" s="586" t="s">
        <v>41</v>
      </c>
      <c r="H3" s="587"/>
      <c r="I3" s="588"/>
      <c r="J3" s="589" t="s">
        <v>42</v>
      </c>
      <c r="K3" s="590"/>
      <c r="L3" s="589" t="s">
        <v>43</v>
      </c>
      <c r="M3" s="590"/>
      <c r="N3" s="589" t="s">
        <v>44</v>
      </c>
      <c r="O3" s="590"/>
      <c r="P3" s="31" t="s">
        <v>45</v>
      </c>
      <c r="Q3" s="9"/>
    </row>
    <row r="4" spans="1:17" ht="78.75" customHeight="1" x14ac:dyDescent="0.25">
      <c r="A4" s="573"/>
      <c r="B4" s="583"/>
      <c r="C4" s="578"/>
      <c r="D4" s="578"/>
      <c r="E4" s="576"/>
      <c r="F4" s="566"/>
      <c r="G4" s="10" t="s">
        <v>46</v>
      </c>
      <c r="H4" s="10" t="s">
        <v>47</v>
      </c>
      <c r="I4" s="10" t="s">
        <v>48</v>
      </c>
      <c r="J4" s="11" t="s">
        <v>97</v>
      </c>
      <c r="K4" s="11" t="s">
        <v>98</v>
      </c>
      <c r="L4" s="30" t="s">
        <v>196</v>
      </c>
      <c r="M4" s="30" t="s">
        <v>206</v>
      </c>
      <c r="N4" s="30" t="s">
        <v>204</v>
      </c>
      <c r="O4" s="30" t="s">
        <v>205</v>
      </c>
      <c r="P4" s="30" t="s">
        <v>195</v>
      </c>
      <c r="Q4" s="9"/>
    </row>
    <row r="5" spans="1:17" ht="20.100000000000001" customHeight="1" x14ac:dyDescent="0.25">
      <c r="A5" s="5" t="s">
        <v>49</v>
      </c>
      <c r="B5" s="39" t="s">
        <v>2</v>
      </c>
      <c r="C5" s="40"/>
      <c r="D5" s="41">
        <f>SUM(D8:D24)</f>
        <v>0</v>
      </c>
      <c r="E5" s="41">
        <f>SUM(E8:E24)</f>
        <v>0</v>
      </c>
      <c r="F5" s="41">
        <f>F7+F8+F9+F10+F11+F12+F13+F14+F16+F17+F18+F19+F20+F21+F22+F24</f>
        <v>1404</v>
      </c>
      <c r="G5" s="41">
        <f>SUM(G8:G24)</f>
        <v>425</v>
      </c>
      <c r="H5" s="41">
        <f>H7+H8+H9+H10+H11+H12+H13+H14</f>
        <v>0</v>
      </c>
      <c r="I5" s="41">
        <f>SUM(I8:I24)</f>
        <v>0</v>
      </c>
      <c r="J5" s="41">
        <f>J7+J8+J9+J10+J11+J12+J13+J16+J17+J18+J19+J20+J21+J22+J24+J14</f>
        <v>615</v>
      </c>
      <c r="K5" s="41">
        <f>K7+K8+K9+K10+K11+K12+K13+K14+K16+K17+K18+K19+K20+K21+K22+K24</f>
        <v>789</v>
      </c>
      <c r="L5" s="41">
        <f>SUM(L8:L24)</f>
        <v>0</v>
      </c>
      <c r="M5" s="41">
        <f>SUM(M8:M24)</f>
        <v>0</v>
      </c>
      <c r="N5" s="42">
        <f>SUM(N8:N24)</f>
        <v>0</v>
      </c>
      <c r="O5" s="42">
        <f>SUM(O8:O24)</f>
        <v>0</v>
      </c>
      <c r="P5" s="41">
        <f>SUM(P8:P24)</f>
        <v>0</v>
      </c>
      <c r="Q5" s="12"/>
    </row>
    <row r="6" spans="1:17" ht="20.100000000000001" customHeight="1" x14ac:dyDescent="0.25">
      <c r="A6" s="5" t="s">
        <v>50</v>
      </c>
      <c r="B6" s="39" t="s">
        <v>207</v>
      </c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  <c r="O6" s="48"/>
      <c r="P6" s="47"/>
      <c r="Q6" s="12"/>
    </row>
    <row r="7" spans="1:17" ht="20.100000000000001" customHeight="1" x14ac:dyDescent="0.25">
      <c r="A7" s="6" t="s">
        <v>50</v>
      </c>
      <c r="B7" s="43" t="s">
        <v>3</v>
      </c>
      <c r="C7" s="46" t="s">
        <v>208</v>
      </c>
      <c r="D7" s="47"/>
      <c r="E7" s="47"/>
      <c r="F7" s="47">
        <f t="shared" ref="F7:F14" si="0">J7+K7</f>
        <v>78</v>
      </c>
      <c r="G7" s="47">
        <v>60</v>
      </c>
      <c r="H7" s="47"/>
      <c r="I7" s="47"/>
      <c r="J7" s="47">
        <v>34</v>
      </c>
      <c r="K7" s="47">
        <v>44</v>
      </c>
      <c r="L7" s="47"/>
      <c r="M7" s="47"/>
      <c r="N7" s="48"/>
      <c r="O7" s="48"/>
      <c r="P7" s="47"/>
      <c r="Q7" s="12"/>
    </row>
    <row r="8" spans="1:17" ht="20.100000000000001" customHeight="1" x14ac:dyDescent="0.25">
      <c r="A8" s="6" t="s">
        <v>51</v>
      </c>
      <c r="B8" s="43" t="s">
        <v>4</v>
      </c>
      <c r="C8" s="44" t="s">
        <v>209</v>
      </c>
      <c r="D8" s="49"/>
      <c r="E8" s="49"/>
      <c r="F8" s="49">
        <f t="shared" si="0"/>
        <v>117</v>
      </c>
      <c r="G8" s="50"/>
      <c r="H8" s="50">
        <v>0</v>
      </c>
      <c r="I8" s="49"/>
      <c r="J8" s="49">
        <v>51</v>
      </c>
      <c r="K8" s="49">
        <v>66</v>
      </c>
      <c r="L8" s="49"/>
      <c r="M8" s="49"/>
      <c r="N8" s="51"/>
      <c r="O8" s="51"/>
      <c r="P8" s="49"/>
      <c r="Q8" s="12"/>
    </row>
    <row r="9" spans="1:17" ht="20.100000000000001" customHeight="1" x14ac:dyDescent="0.25">
      <c r="A9" s="6" t="s">
        <v>52</v>
      </c>
      <c r="B9" s="43" t="s">
        <v>5</v>
      </c>
      <c r="C9" s="44" t="s">
        <v>209</v>
      </c>
      <c r="D9" s="49"/>
      <c r="E9" s="49"/>
      <c r="F9" s="49">
        <f t="shared" si="0"/>
        <v>117</v>
      </c>
      <c r="G9" s="50">
        <v>117</v>
      </c>
      <c r="H9" s="50"/>
      <c r="I9" s="49"/>
      <c r="J9" s="49">
        <v>51</v>
      </c>
      <c r="K9" s="49">
        <v>66</v>
      </c>
      <c r="L9" s="49"/>
      <c r="M9" s="49"/>
      <c r="N9" s="51"/>
      <c r="O9" s="51"/>
      <c r="P9" s="49"/>
      <c r="Q9" s="12"/>
    </row>
    <row r="10" spans="1:17" ht="20.100000000000001" customHeight="1" x14ac:dyDescent="0.25">
      <c r="A10" s="6" t="s">
        <v>53</v>
      </c>
      <c r="B10" s="43" t="s">
        <v>6</v>
      </c>
      <c r="C10" s="44" t="s">
        <v>209</v>
      </c>
      <c r="D10" s="49"/>
      <c r="E10" s="49"/>
      <c r="F10" s="49">
        <f t="shared" si="0"/>
        <v>117</v>
      </c>
      <c r="G10" s="50">
        <v>10</v>
      </c>
      <c r="H10" s="50">
        <v>0</v>
      </c>
      <c r="I10" s="49"/>
      <c r="J10" s="49">
        <v>51</v>
      </c>
      <c r="K10" s="49">
        <v>66</v>
      </c>
      <c r="L10" s="49"/>
      <c r="M10" s="49"/>
      <c r="N10" s="51"/>
      <c r="O10" s="51"/>
      <c r="P10" s="49"/>
      <c r="Q10" s="12"/>
    </row>
    <row r="11" spans="1:17" ht="20.100000000000001" customHeight="1" x14ac:dyDescent="0.25">
      <c r="A11" s="6" t="s">
        <v>54</v>
      </c>
      <c r="B11" s="43" t="s">
        <v>9</v>
      </c>
      <c r="C11" s="44" t="s">
        <v>210</v>
      </c>
      <c r="D11" s="49"/>
      <c r="E11" s="49"/>
      <c r="F11" s="49">
        <f t="shared" si="0"/>
        <v>117</v>
      </c>
      <c r="G11" s="50">
        <v>102</v>
      </c>
      <c r="H11" s="50"/>
      <c r="I11" s="49"/>
      <c r="J11" s="49">
        <v>51</v>
      </c>
      <c r="K11" s="49">
        <v>66</v>
      </c>
      <c r="L11" s="49"/>
      <c r="M11" s="49"/>
      <c r="N11" s="51"/>
      <c r="O11" s="51"/>
      <c r="P11" s="49"/>
      <c r="Q11" s="12"/>
    </row>
    <row r="12" spans="1:17" ht="20.100000000000001" customHeight="1" x14ac:dyDescent="0.25">
      <c r="A12" s="6" t="s">
        <v>55</v>
      </c>
      <c r="B12" s="43" t="s">
        <v>10</v>
      </c>
      <c r="C12" s="44" t="s">
        <v>209</v>
      </c>
      <c r="D12" s="49"/>
      <c r="E12" s="49"/>
      <c r="F12" s="49">
        <f t="shared" si="0"/>
        <v>70</v>
      </c>
      <c r="G12" s="50">
        <v>20</v>
      </c>
      <c r="H12" s="50">
        <v>0</v>
      </c>
      <c r="I12" s="49"/>
      <c r="J12" s="52">
        <v>30</v>
      </c>
      <c r="K12" s="49">
        <v>40</v>
      </c>
      <c r="L12" s="49"/>
      <c r="M12" s="49"/>
      <c r="N12" s="51"/>
      <c r="O12" s="53"/>
      <c r="P12" s="54"/>
      <c r="Q12" s="12"/>
    </row>
    <row r="13" spans="1:17" ht="20.100000000000001" customHeight="1" x14ac:dyDescent="0.25">
      <c r="A13" s="6" t="s">
        <v>56</v>
      </c>
      <c r="B13" s="43" t="s">
        <v>11</v>
      </c>
      <c r="C13" s="44" t="s">
        <v>208</v>
      </c>
      <c r="D13" s="49"/>
      <c r="E13" s="49"/>
      <c r="F13" s="49">
        <f t="shared" si="0"/>
        <v>234</v>
      </c>
      <c r="G13" s="50">
        <v>156</v>
      </c>
      <c r="H13" s="50"/>
      <c r="I13" s="49"/>
      <c r="J13" s="55">
        <v>102</v>
      </c>
      <c r="K13" s="49">
        <v>132</v>
      </c>
      <c r="L13" s="49"/>
      <c r="M13" s="49"/>
      <c r="N13" s="51"/>
      <c r="O13" s="56"/>
      <c r="P13" s="57"/>
      <c r="Q13" s="12"/>
    </row>
    <row r="14" spans="1:17" ht="20.100000000000001" customHeight="1" x14ac:dyDescent="0.25">
      <c r="A14" s="6" t="s">
        <v>57</v>
      </c>
      <c r="B14" s="43" t="s">
        <v>211</v>
      </c>
      <c r="C14" s="44" t="s">
        <v>209</v>
      </c>
      <c r="D14" s="49"/>
      <c r="E14" s="49"/>
      <c r="F14" s="49">
        <f t="shared" si="0"/>
        <v>36</v>
      </c>
      <c r="G14" s="50"/>
      <c r="H14" s="50"/>
      <c r="I14" s="49"/>
      <c r="J14" s="55"/>
      <c r="K14" s="49">
        <v>36</v>
      </c>
      <c r="L14" s="49"/>
      <c r="M14" s="49"/>
      <c r="N14" s="51"/>
      <c r="O14" s="56"/>
      <c r="P14" s="57"/>
      <c r="Q14" s="12"/>
    </row>
    <row r="15" spans="1:17" ht="20.100000000000001" customHeight="1" x14ac:dyDescent="0.25">
      <c r="A15" s="6" t="s">
        <v>58</v>
      </c>
      <c r="B15" s="39" t="s">
        <v>212</v>
      </c>
      <c r="C15" s="46"/>
      <c r="D15" s="49">
        <f t="shared" ref="D15" si="1">E15+F15</f>
        <v>0</v>
      </c>
      <c r="E15" s="49">
        <f t="shared" ref="E15" si="2">F15/2</f>
        <v>0</v>
      </c>
      <c r="F15" s="47"/>
      <c r="G15" s="41"/>
      <c r="H15" s="41">
        <f>H16+H17+H19+H20+H21+H22+H24</f>
        <v>76</v>
      </c>
      <c r="I15" s="47"/>
      <c r="J15" s="58"/>
      <c r="K15" s="47"/>
      <c r="L15" s="47"/>
      <c r="M15" s="47"/>
      <c r="N15" s="48"/>
      <c r="O15" s="59"/>
      <c r="P15" s="60"/>
      <c r="Q15" s="12"/>
    </row>
    <row r="16" spans="1:17" ht="20.100000000000001" customHeight="1" x14ac:dyDescent="0.25">
      <c r="A16" s="6"/>
      <c r="B16" s="43" t="s">
        <v>213</v>
      </c>
      <c r="C16" s="44" t="s">
        <v>214</v>
      </c>
      <c r="D16" s="49"/>
      <c r="E16" s="49"/>
      <c r="F16" s="49">
        <f t="shared" ref="F16:F22" si="3">J16+K16</f>
        <v>100</v>
      </c>
      <c r="G16" s="50"/>
      <c r="H16" s="50">
        <v>30</v>
      </c>
      <c r="I16" s="49"/>
      <c r="J16" s="49">
        <v>34</v>
      </c>
      <c r="K16" s="49">
        <v>66</v>
      </c>
      <c r="L16" s="49"/>
      <c r="M16" s="49"/>
      <c r="N16" s="51"/>
      <c r="O16" s="51"/>
      <c r="P16" s="49"/>
      <c r="Q16" s="12"/>
    </row>
    <row r="17" spans="1:17" ht="29.25" customHeight="1" x14ac:dyDescent="0.25">
      <c r="A17" s="5" t="s">
        <v>59</v>
      </c>
      <c r="B17" s="43" t="s">
        <v>12</v>
      </c>
      <c r="C17" s="44" t="s">
        <v>208</v>
      </c>
      <c r="D17" s="49"/>
      <c r="E17" s="49"/>
      <c r="F17" s="49">
        <f t="shared" si="3"/>
        <v>85</v>
      </c>
      <c r="G17" s="50"/>
      <c r="H17" s="47">
        <v>36</v>
      </c>
      <c r="I17" s="47"/>
      <c r="J17" s="49">
        <v>68</v>
      </c>
      <c r="K17" s="49">
        <v>17</v>
      </c>
      <c r="L17" s="49"/>
      <c r="M17" s="49"/>
      <c r="N17" s="51"/>
      <c r="O17" s="51"/>
      <c r="P17" s="49"/>
      <c r="Q17" s="12"/>
    </row>
    <row r="18" spans="1:17" ht="20.100000000000001" customHeight="1" x14ac:dyDescent="0.25">
      <c r="A18" s="6" t="s">
        <v>60</v>
      </c>
      <c r="B18" s="43" t="s">
        <v>7</v>
      </c>
      <c r="C18" s="44"/>
      <c r="D18" s="49"/>
      <c r="E18" s="49"/>
      <c r="F18" s="49">
        <f t="shared" si="3"/>
        <v>78</v>
      </c>
      <c r="G18" s="50"/>
      <c r="H18" s="47">
        <v>22</v>
      </c>
      <c r="I18" s="47"/>
      <c r="J18" s="49">
        <v>34</v>
      </c>
      <c r="K18" s="49">
        <v>44</v>
      </c>
      <c r="L18" s="49"/>
      <c r="M18" s="49"/>
      <c r="N18" s="51"/>
      <c r="O18" s="51"/>
      <c r="P18" s="49"/>
      <c r="Q18" s="12"/>
    </row>
    <row r="19" spans="1:17" ht="20.100000000000001" customHeight="1" x14ac:dyDescent="0.25">
      <c r="A19" s="6" t="s">
        <v>61</v>
      </c>
      <c r="B19" s="43" t="s">
        <v>215</v>
      </c>
      <c r="C19" s="44" t="s">
        <v>95</v>
      </c>
      <c r="D19" s="49"/>
      <c r="E19" s="49"/>
      <c r="F19" s="49">
        <f t="shared" si="3"/>
        <v>108</v>
      </c>
      <c r="G19" s="50">
        <v>10</v>
      </c>
      <c r="H19" s="50"/>
      <c r="I19" s="49"/>
      <c r="J19" s="49">
        <v>34</v>
      </c>
      <c r="K19" s="49">
        <v>74</v>
      </c>
      <c r="L19" s="49"/>
      <c r="M19" s="49"/>
      <c r="N19" s="51"/>
      <c r="O19" s="51"/>
      <c r="P19" s="49"/>
      <c r="Q19" s="12"/>
    </row>
    <row r="20" spans="1:17" ht="20.100000000000001" customHeight="1" x14ac:dyDescent="0.25">
      <c r="A20" s="6" t="s">
        <v>62</v>
      </c>
      <c r="B20" s="43" t="s">
        <v>8</v>
      </c>
      <c r="C20" s="44" t="s">
        <v>96</v>
      </c>
      <c r="D20" s="49"/>
      <c r="E20" s="49"/>
      <c r="F20" s="49">
        <f t="shared" si="3"/>
        <v>36</v>
      </c>
      <c r="G20" s="50"/>
      <c r="H20" s="50">
        <v>10</v>
      </c>
      <c r="I20" s="49"/>
      <c r="J20" s="49">
        <v>36</v>
      </c>
      <c r="K20" s="49"/>
      <c r="L20" s="49"/>
      <c r="M20" s="49"/>
      <c r="N20" s="51"/>
      <c r="O20" s="51"/>
      <c r="P20" s="49"/>
      <c r="Q20" s="12"/>
    </row>
    <row r="21" spans="1:17" ht="20.100000000000001" customHeight="1" x14ac:dyDescent="0.25">
      <c r="A21" s="6" t="s">
        <v>229</v>
      </c>
      <c r="B21" s="43" t="s">
        <v>216</v>
      </c>
      <c r="C21" s="567" t="s">
        <v>95</v>
      </c>
      <c r="D21" s="49"/>
      <c r="E21" s="49"/>
      <c r="F21" s="49">
        <f t="shared" si="3"/>
        <v>36</v>
      </c>
      <c r="G21" s="50">
        <v>10</v>
      </c>
      <c r="H21" s="50">
        <v>0</v>
      </c>
      <c r="I21" s="49"/>
      <c r="J21" s="49"/>
      <c r="K21" s="49">
        <v>36</v>
      </c>
      <c r="L21" s="49"/>
      <c r="M21" s="49"/>
      <c r="N21" s="51"/>
      <c r="O21" s="51"/>
      <c r="P21" s="49"/>
      <c r="Q21" s="12"/>
    </row>
    <row r="22" spans="1:17" ht="20.100000000000001" customHeight="1" x14ac:dyDescent="0.25">
      <c r="A22" s="6"/>
      <c r="B22" s="43" t="s">
        <v>217</v>
      </c>
      <c r="C22" s="568"/>
      <c r="D22" s="49"/>
      <c r="E22" s="49"/>
      <c r="F22" s="47">
        <f t="shared" si="3"/>
        <v>36</v>
      </c>
      <c r="G22" s="41"/>
      <c r="H22" s="41"/>
      <c r="I22" s="47"/>
      <c r="J22" s="47"/>
      <c r="K22" s="47">
        <v>36</v>
      </c>
      <c r="L22" s="47"/>
      <c r="M22" s="47"/>
      <c r="N22" s="48"/>
      <c r="O22" s="48"/>
      <c r="P22" s="47"/>
      <c r="Q22" s="12"/>
    </row>
    <row r="23" spans="1:17" ht="20.100000000000001" customHeight="1" x14ac:dyDescent="0.25">
      <c r="A23" s="6"/>
      <c r="B23" s="39" t="s">
        <v>218</v>
      </c>
      <c r="C23" s="44"/>
      <c r="D23" s="49"/>
      <c r="E23" s="49"/>
      <c r="F23" s="49"/>
      <c r="G23" s="50"/>
      <c r="H23" s="50"/>
      <c r="I23" s="47"/>
      <c r="J23" s="49"/>
      <c r="K23" s="49"/>
      <c r="L23" s="49"/>
      <c r="M23" s="49"/>
      <c r="N23" s="51"/>
      <c r="O23" s="51"/>
      <c r="P23" s="49"/>
      <c r="Q23" s="12"/>
    </row>
    <row r="24" spans="1:17" ht="20.100000000000001" customHeight="1" x14ac:dyDescent="0.25">
      <c r="A24" s="6"/>
      <c r="B24" s="43" t="s">
        <v>219</v>
      </c>
      <c r="C24" s="44"/>
      <c r="D24" s="49"/>
      <c r="E24" s="49"/>
      <c r="F24" s="49">
        <f>J24+K24</f>
        <v>39</v>
      </c>
      <c r="G24" s="50"/>
      <c r="H24" s="50"/>
      <c r="I24" s="45"/>
      <c r="J24" s="49">
        <v>39</v>
      </c>
      <c r="K24" s="49"/>
      <c r="L24" s="49"/>
      <c r="M24" s="49"/>
      <c r="N24" s="51"/>
      <c r="O24" s="51"/>
      <c r="P24" s="49"/>
      <c r="Q24" s="12"/>
    </row>
    <row r="25" spans="1:17" ht="20.100000000000001" customHeight="1" x14ac:dyDescent="0.25">
      <c r="A25" s="6"/>
      <c r="B25" s="33"/>
      <c r="C25" s="7"/>
      <c r="D25" s="2"/>
      <c r="E25" s="2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12"/>
    </row>
    <row r="26" spans="1:17" ht="20.100000000000001" customHeight="1" x14ac:dyDescent="0.25">
      <c r="A26" s="6" t="s">
        <v>229</v>
      </c>
      <c r="B26" s="33"/>
      <c r="C26" s="7"/>
      <c r="D26" s="2"/>
      <c r="E26" s="2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12"/>
    </row>
    <row r="27" spans="1:17" ht="30.75" customHeight="1" x14ac:dyDescent="0.25">
      <c r="A27" s="5" t="s">
        <v>63</v>
      </c>
      <c r="B27" s="32" t="s">
        <v>13</v>
      </c>
      <c r="C27" s="8" t="s">
        <v>64</v>
      </c>
      <c r="D27" s="3">
        <f>SUM(D28:D34)</f>
        <v>602</v>
      </c>
      <c r="E27" s="3">
        <f>SUM(E28:E34)</f>
        <v>0</v>
      </c>
      <c r="F27" s="3">
        <f>SUM(F28:F34)</f>
        <v>602</v>
      </c>
      <c r="G27" s="3">
        <f t="shared" ref="G27:O27" si="4">SUM(G28:G34)</f>
        <v>266</v>
      </c>
      <c r="H27" s="3">
        <f t="shared" si="4"/>
        <v>336</v>
      </c>
      <c r="I27" s="3">
        <f t="shared" si="4"/>
        <v>0</v>
      </c>
      <c r="J27" s="3">
        <f t="shared" si="4"/>
        <v>0</v>
      </c>
      <c r="K27" s="3">
        <f t="shared" si="4"/>
        <v>0</v>
      </c>
      <c r="L27" s="3">
        <f t="shared" si="4"/>
        <v>128</v>
      </c>
      <c r="M27" s="3">
        <f t="shared" si="4"/>
        <v>126</v>
      </c>
      <c r="N27" s="3">
        <f t="shared" si="4"/>
        <v>60</v>
      </c>
      <c r="O27" s="3">
        <f t="shared" si="4"/>
        <v>68</v>
      </c>
      <c r="P27" s="3">
        <f>SUM(P28:P34)</f>
        <v>220</v>
      </c>
      <c r="Q27" s="12"/>
    </row>
    <row r="28" spans="1:17" ht="20.100000000000001" customHeight="1" x14ac:dyDescent="0.25">
      <c r="A28" s="6" t="s">
        <v>65</v>
      </c>
      <c r="B28" s="33" t="s">
        <v>14</v>
      </c>
      <c r="C28" s="7" t="s">
        <v>66</v>
      </c>
      <c r="D28" s="2">
        <f t="shared" ref="D28:D93" si="5">E28+F28</f>
        <v>60</v>
      </c>
      <c r="E28" s="2"/>
      <c r="F28" s="3">
        <v>60</v>
      </c>
      <c r="G28" s="2">
        <f t="shared" ref="G28:G95" si="6">F28-H28-I28</f>
        <v>60</v>
      </c>
      <c r="H28" s="2"/>
      <c r="I28" s="2"/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/>
      <c r="P28" s="3">
        <v>60</v>
      </c>
      <c r="Q28" s="12"/>
    </row>
    <row r="29" spans="1:17" ht="20.100000000000001" customHeight="1" x14ac:dyDescent="0.25">
      <c r="A29" s="6" t="s">
        <v>67</v>
      </c>
      <c r="B29" s="33" t="s">
        <v>6</v>
      </c>
      <c r="C29" s="7" t="s">
        <v>66</v>
      </c>
      <c r="D29" s="2">
        <f t="shared" si="5"/>
        <v>42</v>
      </c>
      <c r="E29" s="2"/>
      <c r="F29" s="3">
        <v>42</v>
      </c>
      <c r="G29" s="2">
        <f t="shared" si="6"/>
        <v>42</v>
      </c>
      <c r="H29" s="2"/>
      <c r="I29" s="2"/>
      <c r="J29" s="2">
        <v>0</v>
      </c>
      <c r="K29" s="2">
        <v>0</v>
      </c>
      <c r="L29" s="2">
        <v>0</v>
      </c>
      <c r="M29" s="3">
        <f>21*2</f>
        <v>42</v>
      </c>
      <c r="N29" s="2">
        <v>0</v>
      </c>
      <c r="O29" s="2">
        <v>0</v>
      </c>
      <c r="P29" s="2">
        <v>0</v>
      </c>
      <c r="Q29" s="12"/>
    </row>
    <row r="30" spans="1:17" ht="20.100000000000001" customHeight="1" x14ac:dyDescent="0.25">
      <c r="A30" s="6" t="s">
        <v>68</v>
      </c>
      <c r="B30" s="33" t="s">
        <v>106</v>
      </c>
      <c r="C30" s="2"/>
      <c r="D30" s="2">
        <f>E30+F30</f>
        <v>40</v>
      </c>
      <c r="E30" s="2"/>
      <c r="F30" s="3">
        <v>40</v>
      </c>
      <c r="G30" s="2">
        <f>F30-H30-I30</f>
        <v>40</v>
      </c>
      <c r="H30" s="2"/>
      <c r="I30" s="2"/>
      <c r="J30" s="2"/>
      <c r="K30" s="2"/>
      <c r="L30" s="2"/>
      <c r="M30" s="3"/>
      <c r="N30" s="2"/>
      <c r="O30" s="2"/>
      <c r="P30" s="3">
        <v>40</v>
      </c>
      <c r="Q30" s="12"/>
    </row>
    <row r="31" spans="1:17" ht="20.100000000000001" customHeight="1" x14ac:dyDescent="0.25">
      <c r="A31" s="6" t="s">
        <v>70</v>
      </c>
      <c r="B31" s="33" t="s">
        <v>5</v>
      </c>
      <c r="C31" s="7" t="s">
        <v>69</v>
      </c>
      <c r="D31" s="2">
        <f t="shared" si="5"/>
        <v>178</v>
      </c>
      <c r="E31" s="2"/>
      <c r="F31" s="3">
        <v>178</v>
      </c>
      <c r="G31" s="2">
        <f t="shared" si="6"/>
        <v>10</v>
      </c>
      <c r="H31" s="2">
        <v>168</v>
      </c>
      <c r="I31" s="2"/>
      <c r="J31" s="2">
        <v>0</v>
      </c>
      <c r="K31" s="2">
        <v>0</v>
      </c>
      <c r="L31" s="3">
        <v>32</v>
      </c>
      <c r="M31" s="3">
        <f>21*2</f>
        <v>42</v>
      </c>
      <c r="N31" s="3">
        <v>30</v>
      </c>
      <c r="O31" s="3">
        <v>34</v>
      </c>
      <c r="P31" s="3">
        <v>40</v>
      </c>
      <c r="Q31" s="12"/>
    </row>
    <row r="32" spans="1:17" ht="20.100000000000001" customHeight="1" x14ac:dyDescent="0.25">
      <c r="A32" s="6" t="s">
        <v>132</v>
      </c>
      <c r="B32" s="33" t="s">
        <v>9</v>
      </c>
      <c r="C32" s="7" t="s">
        <v>71</v>
      </c>
      <c r="D32" s="2">
        <f t="shared" si="5"/>
        <v>178</v>
      </c>
      <c r="E32" s="2"/>
      <c r="F32" s="3">
        <v>178</v>
      </c>
      <c r="G32" s="2">
        <f t="shared" si="6"/>
        <v>10</v>
      </c>
      <c r="H32" s="2">
        <v>168</v>
      </c>
      <c r="I32" s="2"/>
      <c r="J32" s="2">
        <v>0</v>
      </c>
      <c r="K32" s="2">
        <v>0</v>
      </c>
      <c r="L32" s="3">
        <v>32</v>
      </c>
      <c r="M32" s="3">
        <f>21*2</f>
        <v>42</v>
      </c>
      <c r="N32" s="3">
        <v>30</v>
      </c>
      <c r="O32" s="3">
        <v>34</v>
      </c>
      <c r="P32" s="3">
        <v>40</v>
      </c>
      <c r="Q32" s="12"/>
    </row>
    <row r="33" spans="1:17" ht="20.100000000000001" customHeight="1" x14ac:dyDescent="0.25">
      <c r="A33" s="6" t="s">
        <v>133</v>
      </c>
      <c r="B33" s="33" t="s">
        <v>15</v>
      </c>
      <c r="C33" s="7" t="s">
        <v>66</v>
      </c>
      <c r="D33" s="2">
        <f t="shared" si="5"/>
        <v>32</v>
      </c>
      <c r="E33" s="2"/>
      <c r="F33" s="3">
        <v>32</v>
      </c>
      <c r="G33" s="2">
        <f t="shared" si="6"/>
        <v>32</v>
      </c>
      <c r="H33" s="2"/>
      <c r="I33" s="2"/>
      <c r="J33" s="2">
        <v>0</v>
      </c>
      <c r="K33" s="2">
        <v>0</v>
      </c>
      <c r="L33" s="3">
        <v>32</v>
      </c>
      <c r="M33" s="2">
        <v>0</v>
      </c>
      <c r="N33" s="2">
        <v>0</v>
      </c>
      <c r="O33" s="2">
        <v>0</v>
      </c>
      <c r="P33" s="2">
        <v>0</v>
      </c>
      <c r="Q33" s="12"/>
    </row>
    <row r="34" spans="1:17" ht="20.100000000000001" customHeight="1" x14ac:dyDescent="0.25">
      <c r="A34" s="6" t="s">
        <v>72</v>
      </c>
      <c r="B34" s="33" t="s">
        <v>16</v>
      </c>
      <c r="C34" s="2">
        <v>3</v>
      </c>
      <c r="D34" s="2">
        <f t="shared" si="5"/>
        <v>72</v>
      </c>
      <c r="E34" s="2"/>
      <c r="F34" s="3">
        <v>72</v>
      </c>
      <c r="G34" s="2">
        <f t="shared" si="6"/>
        <v>72</v>
      </c>
      <c r="H34" s="2"/>
      <c r="I34" s="2"/>
      <c r="J34" s="2">
        <v>0</v>
      </c>
      <c r="K34" s="2">
        <v>0</v>
      </c>
      <c r="L34" s="3">
        <v>32</v>
      </c>
      <c r="M34" s="2">
        <v>0</v>
      </c>
      <c r="N34" s="2">
        <v>0</v>
      </c>
      <c r="O34" s="2">
        <v>0</v>
      </c>
      <c r="P34" s="2">
        <v>40</v>
      </c>
      <c r="Q34" s="12"/>
    </row>
    <row r="36" spans="1:17" ht="20.100000000000001" customHeight="1" x14ac:dyDescent="0.25">
      <c r="A36" s="6"/>
      <c r="B36" s="33"/>
      <c r="C36" s="2"/>
      <c r="D36" s="2"/>
      <c r="E36" s="2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12"/>
    </row>
    <row r="37" spans="1:17" ht="20.100000000000001" customHeight="1" x14ac:dyDescent="0.25">
      <c r="A37" s="5" t="s">
        <v>73</v>
      </c>
      <c r="B37" s="32" t="s">
        <v>17</v>
      </c>
      <c r="C37" s="8" t="s">
        <v>74</v>
      </c>
      <c r="D37" s="3">
        <f>SUM(D38:D40)</f>
        <v>179</v>
      </c>
      <c r="E37" s="3">
        <f>SUM(E38:E40)</f>
        <v>0</v>
      </c>
      <c r="F37" s="3">
        <f t="shared" ref="F37:P37" si="7">SUM(F38:F40)</f>
        <v>179</v>
      </c>
      <c r="G37" s="3">
        <f t="shared" si="7"/>
        <v>179</v>
      </c>
      <c r="H37" s="3">
        <f t="shared" si="7"/>
        <v>0</v>
      </c>
      <c r="I37" s="3">
        <f t="shared" si="7"/>
        <v>0</v>
      </c>
      <c r="J37" s="3">
        <f t="shared" si="7"/>
        <v>0</v>
      </c>
      <c r="K37" s="3">
        <f t="shared" si="7"/>
        <v>0</v>
      </c>
      <c r="L37" s="3">
        <f t="shared" si="7"/>
        <v>32</v>
      </c>
      <c r="M37" s="3">
        <f t="shared" si="7"/>
        <v>147</v>
      </c>
      <c r="N37" s="3">
        <f t="shared" si="7"/>
        <v>0</v>
      </c>
      <c r="O37" s="3">
        <f t="shared" si="7"/>
        <v>0</v>
      </c>
      <c r="P37" s="3">
        <f t="shared" si="7"/>
        <v>0</v>
      </c>
      <c r="Q37" s="12"/>
    </row>
    <row r="38" spans="1:17" ht="20.100000000000001" customHeight="1" x14ac:dyDescent="0.25">
      <c r="A38" s="6" t="s">
        <v>75</v>
      </c>
      <c r="B38" s="33" t="s">
        <v>18</v>
      </c>
      <c r="C38" s="7" t="s">
        <v>76</v>
      </c>
      <c r="D38" s="2">
        <f t="shared" si="5"/>
        <v>74</v>
      </c>
      <c r="E38" s="2"/>
      <c r="F38" s="3">
        <v>74</v>
      </c>
      <c r="G38" s="2">
        <f t="shared" si="6"/>
        <v>74</v>
      </c>
      <c r="H38" s="2"/>
      <c r="I38" s="2"/>
      <c r="J38" s="2">
        <v>0</v>
      </c>
      <c r="K38" s="2">
        <v>0</v>
      </c>
      <c r="L38" s="3">
        <v>32</v>
      </c>
      <c r="M38" s="3">
        <f>21*2</f>
        <v>42</v>
      </c>
      <c r="N38" s="2">
        <v>0</v>
      </c>
      <c r="O38" s="2">
        <v>0</v>
      </c>
      <c r="P38" s="2">
        <v>0</v>
      </c>
      <c r="Q38" s="12"/>
    </row>
    <row r="39" spans="1:17" ht="20.100000000000001" customHeight="1" x14ac:dyDescent="0.25">
      <c r="A39" s="6" t="s">
        <v>131</v>
      </c>
      <c r="B39" s="33" t="s">
        <v>107</v>
      </c>
      <c r="C39" s="7"/>
      <c r="D39" s="2">
        <f>E39+F39</f>
        <v>63</v>
      </c>
      <c r="E39" s="2"/>
      <c r="F39" s="3">
        <v>63</v>
      </c>
      <c r="G39" s="2">
        <f>F39-H39-I39</f>
        <v>63</v>
      </c>
      <c r="H39" s="2"/>
      <c r="I39" s="2"/>
      <c r="J39" s="2"/>
      <c r="K39" s="2"/>
      <c r="L39" s="2"/>
      <c r="M39" s="3">
        <f>21*3</f>
        <v>63</v>
      </c>
      <c r="N39" s="2"/>
      <c r="O39" s="2"/>
      <c r="P39" s="2"/>
      <c r="Q39" s="12"/>
    </row>
    <row r="40" spans="1:17" ht="20.100000000000001" customHeight="1" x14ac:dyDescent="0.25">
      <c r="A40" s="6" t="s">
        <v>77</v>
      </c>
      <c r="B40" s="33" t="s">
        <v>19</v>
      </c>
      <c r="C40" s="7" t="s">
        <v>66</v>
      </c>
      <c r="D40" s="2">
        <f t="shared" si="5"/>
        <v>42</v>
      </c>
      <c r="E40" s="2"/>
      <c r="F40" s="3">
        <v>42</v>
      </c>
      <c r="G40" s="2">
        <f t="shared" si="6"/>
        <v>42</v>
      </c>
      <c r="H40" s="2"/>
      <c r="I40" s="2"/>
      <c r="J40" s="2">
        <v>0</v>
      </c>
      <c r="K40" s="2">
        <v>0</v>
      </c>
      <c r="L40" s="2">
        <v>0</v>
      </c>
      <c r="M40" s="3">
        <v>42</v>
      </c>
      <c r="N40" s="2"/>
      <c r="O40" s="2">
        <v>0</v>
      </c>
      <c r="P40" s="2">
        <v>0</v>
      </c>
      <c r="Q40" s="12"/>
    </row>
    <row r="41" spans="1:17" ht="20.100000000000001" customHeight="1" x14ac:dyDescent="0.25">
      <c r="A41" s="6"/>
      <c r="B41" s="33"/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2"/>
    </row>
    <row r="42" spans="1:17" ht="20.100000000000001" customHeight="1" x14ac:dyDescent="0.25">
      <c r="A42" s="5" t="s">
        <v>78</v>
      </c>
      <c r="B42" s="32" t="s">
        <v>20</v>
      </c>
      <c r="C42" s="1"/>
      <c r="D42" s="3">
        <f>D44+D59</f>
        <v>3179</v>
      </c>
      <c r="E42" s="3">
        <f t="shared" ref="E42:P42" si="8">E44+E59</f>
        <v>0</v>
      </c>
      <c r="F42" s="3">
        <f t="shared" si="8"/>
        <v>3179</v>
      </c>
      <c r="G42" s="3">
        <f t="shared" si="8"/>
        <v>2215</v>
      </c>
      <c r="H42" s="3">
        <f t="shared" si="8"/>
        <v>916</v>
      </c>
      <c r="I42" s="3">
        <f t="shared" si="8"/>
        <v>0</v>
      </c>
      <c r="J42" s="3">
        <f t="shared" si="8"/>
        <v>0</v>
      </c>
      <c r="K42" s="3">
        <f t="shared" si="8"/>
        <v>0</v>
      </c>
      <c r="L42" s="3">
        <f t="shared" si="8"/>
        <v>452</v>
      </c>
      <c r="M42" s="3">
        <f t="shared" si="8"/>
        <v>555</v>
      </c>
      <c r="N42" s="3">
        <f t="shared" si="8"/>
        <v>624</v>
      </c>
      <c r="O42" s="3">
        <f t="shared" si="8"/>
        <v>688</v>
      </c>
      <c r="P42" s="3">
        <f t="shared" si="8"/>
        <v>612</v>
      </c>
      <c r="Q42" s="12"/>
    </row>
    <row r="43" spans="1:17" ht="20.100000000000001" customHeight="1" x14ac:dyDescent="0.25">
      <c r="A43" s="5"/>
      <c r="B43" s="32"/>
      <c r="C43" s="1"/>
      <c r="D43" s="2"/>
      <c r="E43" s="2"/>
      <c r="F43" s="3"/>
      <c r="G43" s="2"/>
      <c r="H43" s="3"/>
      <c r="I43" s="3"/>
      <c r="J43" s="3"/>
      <c r="K43" s="3"/>
      <c r="L43" s="3"/>
      <c r="M43" s="3"/>
      <c r="N43" s="3"/>
      <c r="O43" s="3"/>
      <c r="P43" s="3"/>
      <c r="Q43" s="12"/>
    </row>
    <row r="44" spans="1:17" ht="20.100000000000001" customHeight="1" x14ac:dyDescent="0.25">
      <c r="A44" s="5" t="s">
        <v>79</v>
      </c>
      <c r="B44" s="32" t="s">
        <v>21</v>
      </c>
      <c r="C44" s="8" t="s">
        <v>80</v>
      </c>
      <c r="D44" s="3">
        <f>SUM(D45:D57)</f>
        <v>873</v>
      </c>
      <c r="E44" s="3">
        <f t="shared" ref="E44:K44" si="9">SUM(E46:E57)</f>
        <v>0</v>
      </c>
      <c r="F44" s="3">
        <f>SUM(F45:F57)</f>
        <v>873</v>
      </c>
      <c r="G44" s="3">
        <f t="shared" si="9"/>
        <v>613</v>
      </c>
      <c r="H44" s="3">
        <f t="shared" si="9"/>
        <v>212</v>
      </c>
      <c r="I44" s="3">
        <f t="shared" si="9"/>
        <v>0</v>
      </c>
      <c r="J44" s="3">
        <f t="shared" si="9"/>
        <v>0</v>
      </c>
      <c r="K44" s="3">
        <f t="shared" si="9"/>
        <v>0</v>
      </c>
      <c r="L44" s="3">
        <f>SUM(L45:L57)</f>
        <v>272</v>
      </c>
      <c r="M44" s="3">
        <f t="shared" ref="M44:P44" si="10">SUM(M45:M57)</f>
        <v>273</v>
      </c>
      <c r="N44" s="3">
        <f t="shared" si="10"/>
        <v>180</v>
      </c>
      <c r="O44" s="3">
        <f t="shared" si="10"/>
        <v>68</v>
      </c>
      <c r="P44" s="3">
        <f t="shared" si="10"/>
        <v>80</v>
      </c>
      <c r="Q44" s="12"/>
    </row>
    <row r="45" spans="1:17" ht="20.100000000000001" customHeight="1" x14ac:dyDescent="0.25">
      <c r="A45" s="6" t="s">
        <v>81</v>
      </c>
      <c r="B45" s="33" t="s">
        <v>124</v>
      </c>
      <c r="C45" s="569" t="s">
        <v>82</v>
      </c>
      <c r="D45" s="2">
        <f>E45+F45</f>
        <v>48</v>
      </c>
      <c r="E45" s="2"/>
      <c r="F45" s="3">
        <v>48</v>
      </c>
      <c r="G45" s="2">
        <f>F45-H45-I45</f>
        <v>18</v>
      </c>
      <c r="H45" s="2">
        <v>30</v>
      </c>
      <c r="I45" s="2"/>
      <c r="J45" s="2">
        <v>0</v>
      </c>
      <c r="K45" s="2">
        <v>0</v>
      </c>
      <c r="L45" s="3">
        <f>16*3</f>
        <v>48</v>
      </c>
      <c r="M45" s="2"/>
      <c r="N45" s="2">
        <v>0</v>
      </c>
      <c r="O45" s="2">
        <v>0</v>
      </c>
      <c r="P45" s="2">
        <v>0</v>
      </c>
      <c r="Q45" s="12"/>
    </row>
    <row r="46" spans="1:17" ht="20.100000000000001" customHeight="1" x14ac:dyDescent="0.25">
      <c r="A46" s="6" t="s">
        <v>83</v>
      </c>
      <c r="B46" s="33" t="s">
        <v>125</v>
      </c>
      <c r="C46" s="570"/>
      <c r="D46" s="2">
        <f t="shared" si="5"/>
        <v>48</v>
      </c>
      <c r="E46" s="2"/>
      <c r="F46" s="3">
        <v>48</v>
      </c>
      <c r="G46" s="2">
        <f t="shared" si="6"/>
        <v>28</v>
      </c>
      <c r="H46" s="2">
        <v>20</v>
      </c>
      <c r="I46" s="2"/>
      <c r="J46" s="2">
        <v>0</v>
      </c>
      <c r="K46" s="2">
        <v>0</v>
      </c>
      <c r="L46" s="3">
        <f>16*3</f>
        <v>48</v>
      </c>
      <c r="M46" s="2">
        <v>0</v>
      </c>
      <c r="N46" s="2">
        <v>0</v>
      </c>
      <c r="O46" s="2">
        <v>0</v>
      </c>
      <c r="P46" s="2">
        <v>0</v>
      </c>
      <c r="Q46" s="12"/>
    </row>
    <row r="47" spans="1:17" ht="21.75" customHeight="1" x14ac:dyDescent="0.25">
      <c r="A47" s="6" t="s">
        <v>84</v>
      </c>
      <c r="B47" s="33" t="s">
        <v>104</v>
      </c>
      <c r="C47" s="7" t="s">
        <v>95</v>
      </c>
      <c r="D47" s="2">
        <f t="shared" ref="D47:D57" si="11">E47+F47</f>
        <v>111</v>
      </c>
      <c r="E47" s="2"/>
      <c r="F47" s="3">
        <v>111</v>
      </c>
      <c r="G47" s="2">
        <f t="shared" ref="G47:G57" si="12">F47-H47-I47</f>
        <v>71</v>
      </c>
      <c r="H47" s="2">
        <v>40</v>
      </c>
      <c r="I47" s="2"/>
      <c r="J47" s="2"/>
      <c r="K47" s="2"/>
      <c r="L47" s="3">
        <f>16*3</f>
        <v>48</v>
      </c>
      <c r="M47" s="3">
        <f>21*3</f>
        <v>63</v>
      </c>
      <c r="N47" s="2"/>
      <c r="O47" s="2"/>
      <c r="P47" s="2"/>
      <c r="Q47" s="12"/>
    </row>
    <row r="48" spans="1:17" ht="30.75" customHeight="1" x14ac:dyDescent="0.25">
      <c r="A48" s="6" t="s">
        <v>126</v>
      </c>
      <c r="B48" s="33" t="s">
        <v>24</v>
      </c>
      <c r="C48" s="7" t="s">
        <v>86</v>
      </c>
      <c r="D48" s="2">
        <f t="shared" si="11"/>
        <v>164</v>
      </c>
      <c r="E48" s="2"/>
      <c r="F48" s="3">
        <v>164</v>
      </c>
      <c r="G48" s="2">
        <f t="shared" si="12"/>
        <v>88</v>
      </c>
      <c r="H48" s="2">
        <v>76</v>
      </c>
      <c r="I48" s="2"/>
      <c r="J48" s="2">
        <v>0</v>
      </c>
      <c r="K48" s="2">
        <v>0</v>
      </c>
      <c r="L48" s="3">
        <f>16*5</f>
        <v>80</v>
      </c>
      <c r="M48" s="3">
        <f>21*4</f>
        <v>84</v>
      </c>
      <c r="N48" s="2">
        <v>0</v>
      </c>
      <c r="O48" s="2">
        <v>0</v>
      </c>
      <c r="P48" s="2">
        <v>0</v>
      </c>
      <c r="Q48" s="12"/>
    </row>
    <row r="49" spans="1:17" ht="20.100000000000001" customHeight="1" x14ac:dyDescent="0.25">
      <c r="A49" s="6" t="s">
        <v>127</v>
      </c>
      <c r="B49" s="33" t="s">
        <v>26</v>
      </c>
      <c r="C49" s="1"/>
      <c r="D49" s="2">
        <f t="shared" si="11"/>
        <v>40</v>
      </c>
      <c r="E49" s="2"/>
      <c r="F49" s="3">
        <v>40</v>
      </c>
      <c r="G49" s="2">
        <f t="shared" si="12"/>
        <v>40</v>
      </c>
      <c r="H49" s="2"/>
      <c r="I49" s="2"/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3">
        <v>40</v>
      </c>
      <c r="Q49" s="12"/>
    </row>
    <row r="50" spans="1:17" ht="20.100000000000001" customHeight="1" x14ac:dyDescent="0.25">
      <c r="A50" s="6" t="s">
        <v>85</v>
      </c>
      <c r="B50" s="33" t="s">
        <v>27</v>
      </c>
      <c r="C50" s="7" t="s">
        <v>82</v>
      </c>
      <c r="D50" s="2">
        <f t="shared" si="11"/>
        <v>68</v>
      </c>
      <c r="E50" s="2"/>
      <c r="F50" s="3">
        <v>68</v>
      </c>
      <c r="G50" s="2">
        <f t="shared" si="12"/>
        <v>68</v>
      </c>
      <c r="H50" s="2"/>
      <c r="I50" s="2"/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3">
        <v>68</v>
      </c>
      <c r="P50" s="2">
        <v>0</v>
      </c>
      <c r="Q50" s="12"/>
    </row>
    <row r="51" spans="1:17" ht="21.75" customHeight="1" x14ac:dyDescent="0.25">
      <c r="A51" s="6" t="s">
        <v>87</v>
      </c>
      <c r="B51" s="33" t="s">
        <v>105</v>
      </c>
      <c r="C51" s="7"/>
      <c r="D51" s="2">
        <f t="shared" si="11"/>
        <v>42</v>
      </c>
      <c r="E51" s="2"/>
      <c r="F51" s="3">
        <v>42</v>
      </c>
      <c r="G51" s="2">
        <f t="shared" si="12"/>
        <v>28</v>
      </c>
      <c r="H51" s="2">
        <v>14</v>
      </c>
      <c r="I51" s="2"/>
      <c r="J51" s="2"/>
      <c r="K51" s="2"/>
      <c r="L51" s="2"/>
      <c r="M51" s="3">
        <f>21*2</f>
        <v>42</v>
      </c>
      <c r="N51" s="3"/>
      <c r="O51" s="2"/>
      <c r="P51" s="2"/>
      <c r="Q51" s="12"/>
    </row>
    <row r="52" spans="1:17" ht="20.100000000000001" customHeight="1" x14ac:dyDescent="0.25">
      <c r="A52" s="6" t="s">
        <v>128</v>
      </c>
      <c r="B52" s="33" t="s">
        <v>25</v>
      </c>
      <c r="C52" s="7" t="s">
        <v>82</v>
      </c>
      <c r="D52" s="2">
        <f t="shared" si="11"/>
        <v>84</v>
      </c>
      <c r="E52" s="2"/>
      <c r="F52" s="3">
        <v>84</v>
      </c>
      <c r="G52" s="2">
        <f t="shared" si="12"/>
        <v>54</v>
      </c>
      <c r="H52" s="2">
        <v>30</v>
      </c>
      <c r="I52" s="2"/>
      <c r="J52" s="2">
        <v>0</v>
      </c>
      <c r="K52" s="2">
        <v>0</v>
      </c>
      <c r="L52" s="2">
        <v>0</v>
      </c>
      <c r="M52" s="3">
        <f>21*4</f>
        <v>84</v>
      </c>
      <c r="N52" s="2"/>
      <c r="O52" s="2">
        <v>0</v>
      </c>
      <c r="P52" s="2">
        <v>0</v>
      </c>
      <c r="Q52" s="12"/>
    </row>
    <row r="53" spans="1:17" ht="21.75" customHeight="1" x14ac:dyDescent="0.25">
      <c r="A53" s="6" t="s">
        <v>88</v>
      </c>
      <c r="B53" s="33" t="s">
        <v>108</v>
      </c>
      <c r="C53" s="7"/>
      <c r="D53" s="2">
        <f t="shared" si="11"/>
        <v>40</v>
      </c>
      <c r="E53" s="2"/>
      <c r="F53" s="3">
        <v>40</v>
      </c>
      <c r="G53" s="2">
        <f t="shared" si="12"/>
        <v>26</v>
      </c>
      <c r="H53" s="2">
        <v>14</v>
      </c>
      <c r="I53" s="2"/>
      <c r="J53" s="2"/>
      <c r="K53" s="2"/>
      <c r="L53" s="2"/>
      <c r="M53" s="2"/>
      <c r="N53" s="2"/>
      <c r="O53" s="3"/>
      <c r="P53" s="2">
        <f>20*2</f>
        <v>40</v>
      </c>
      <c r="Q53" s="12"/>
    </row>
    <row r="54" spans="1:17" ht="21.75" customHeight="1" x14ac:dyDescent="0.25">
      <c r="A54" s="6" t="s">
        <v>89</v>
      </c>
      <c r="B54" s="33" t="s">
        <v>109</v>
      </c>
      <c r="C54" s="7"/>
      <c r="D54" s="2">
        <f t="shared" si="11"/>
        <v>48</v>
      </c>
      <c r="E54" s="2"/>
      <c r="F54" s="3">
        <v>48</v>
      </c>
      <c r="G54" s="2">
        <f t="shared" si="12"/>
        <v>48</v>
      </c>
      <c r="H54" s="2"/>
      <c r="I54" s="2"/>
      <c r="J54" s="2"/>
      <c r="K54" s="2"/>
      <c r="L54" s="2"/>
      <c r="M54" s="2"/>
      <c r="N54" s="3">
        <f>15*3+3</f>
        <v>48</v>
      </c>
      <c r="O54" s="2"/>
      <c r="P54" s="2"/>
      <c r="Q54" s="12"/>
    </row>
    <row r="55" spans="1:17" ht="20.100000000000001" customHeight="1" x14ac:dyDescent="0.25">
      <c r="A55" s="6" t="s">
        <v>129</v>
      </c>
      <c r="B55" s="33" t="s">
        <v>22</v>
      </c>
      <c r="C55" s="7" t="s">
        <v>82</v>
      </c>
      <c r="D55" s="2">
        <f t="shared" si="11"/>
        <v>48</v>
      </c>
      <c r="E55" s="2"/>
      <c r="F55" s="3">
        <v>48</v>
      </c>
      <c r="G55" s="2">
        <f t="shared" si="12"/>
        <v>30</v>
      </c>
      <c r="H55" s="2">
        <v>18</v>
      </c>
      <c r="I55" s="2"/>
      <c r="J55" s="2">
        <v>0</v>
      </c>
      <c r="K55" s="2">
        <v>0</v>
      </c>
      <c r="L55" s="3">
        <f>16*3</f>
        <v>48</v>
      </c>
      <c r="M55" s="2">
        <v>0</v>
      </c>
      <c r="N55" s="3"/>
      <c r="O55" s="3"/>
      <c r="P55" s="2">
        <v>0</v>
      </c>
      <c r="Q55" s="12"/>
    </row>
    <row r="56" spans="1:17" ht="21.75" customHeight="1" x14ac:dyDescent="0.25">
      <c r="A56" s="6" t="s">
        <v>130</v>
      </c>
      <c r="B56" s="33" t="s">
        <v>110</v>
      </c>
      <c r="C56" s="7"/>
      <c r="D56" s="2">
        <f t="shared" si="11"/>
        <v>42</v>
      </c>
      <c r="E56" s="2"/>
      <c r="F56" s="3">
        <v>42</v>
      </c>
      <c r="G56" s="2">
        <f t="shared" si="12"/>
        <v>42</v>
      </c>
      <c r="H56" s="2"/>
      <c r="I56" s="2"/>
      <c r="J56" s="2"/>
      <c r="K56" s="2"/>
      <c r="L56" s="2"/>
      <c r="M56" s="2"/>
      <c r="N56" s="3">
        <f>15*3-3</f>
        <v>42</v>
      </c>
      <c r="O56" s="2"/>
      <c r="P56" s="2"/>
      <c r="Q56" s="12"/>
    </row>
    <row r="57" spans="1:17" ht="21.75" customHeight="1" x14ac:dyDescent="0.25">
      <c r="A57" s="6" t="s">
        <v>134</v>
      </c>
      <c r="B57" s="33" t="s">
        <v>123</v>
      </c>
      <c r="C57" s="7"/>
      <c r="D57" s="2">
        <f t="shared" si="11"/>
        <v>90</v>
      </c>
      <c r="E57" s="2"/>
      <c r="F57" s="3">
        <v>90</v>
      </c>
      <c r="G57" s="2">
        <f t="shared" si="12"/>
        <v>90</v>
      </c>
      <c r="H57" s="2"/>
      <c r="I57" s="2"/>
      <c r="J57" s="2"/>
      <c r="K57" s="2"/>
      <c r="L57" s="2"/>
      <c r="M57" s="2"/>
      <c r="N57" s="3">
        <f>15*6</f>
        <v>90</v>
      </c>
      <c r="O57" s="2"/>
      <c r="P57" s="2"/>
      <c r="Q57" s="12"/>
    </row>
    <row r="58" spans="1:17" ht="20.100000000000001" customHeight="1" x14ac:dyDescent="0.25">
      <c r="A58" s="6"/>
      <c r="B58" s="33"/>
      <c r="C58" s="7"/>
      <c r="D58" s="2"/>
      <c r="E58" s="2"/>
      <c r="F58" s="3"/>
      <c r="G58" s="2">
        <f t="shared" ref="G58:G93" si="13">F58-H58-I58</f>
        <v>0</v>
      </c>
      <c r="H58" s="2"/>
      <c r="I58" s="2"/>
      <c r="J58" s="2"/>
      <c r="K58" s="2"/>
      <c r="L58" s="2"/>
      <c r="M58" s="2"/>
      <c r="N58" s="2"/>
      <c r="O58" s="2"/>
      <c r="P58" s="2"/>
      <c r="Q58" s="12"/>
    </row>
    <row r="59" spans="1:17" ht="20.100000000000001" customHeight="1" x14ac:dyDescent="0.25">
      <c r="A59" s="5" t="s">
        <v>90</v>
      </c>
      <c r="B59" s="32" t="s">
        <v>28</v>
      </c>
      <c r="C59" s="1"/>
      <c r="D59" s="3">
        <f t="shared" ref="D59:E59" si="14">D61+D68+D74+D81+D89</f>
        <v>2306</v>
      </c>
      <c r="E59" s="3">
        <f t="shared" si="14"/>
        <v>0</v>
      </c>
      <c r="F59" s="3">
        <f>F61+F68+F74+F81+F89</f>
        <v>2306</v>
      </c>
      <c r="G59" s="3">
        <f>G61+G68+G74+G81+G89</f>
        <v>1602</v>
      </c>
      <c r="H59" s="3">
        <f>H61+H68+H74+H81+H89</f>
        <v>704</v>
      </c>
      <c r="I59" s="3">
        <f t="shared" ref="I59:P59" si="15">I61+I68+I74+I81+I89</f>
        <v>0</v>
      </c>
      <c r="J59" s="3">
        <f t="shared" si="15"/>
        <v>0</v>
      </c>
      <c r="K59" s="3">
        <f t="shared" si="15"/>
        <v>0</v>
      </c>
      <c r="L59" s="3">
        <f t="shared" si="15"/>
        <v>180</v>
      </c>
      <c r="M59" s="3">
        <f t="shared" si="15"/>
        <v>282</v>
      </c>
      <c r="N59" s="3">
        <f t="shared" si="15"/>
        <v>444</v>
      </c>
      <c r="O59" s="3">
        <f t="shared" si="15"/>
        <v>620</v>
      </c>
      <c r="P59" s="3">
        <f t="shared" si="15"/>
        <v>532</v>
      </c>
      <c r="Q59" s="12"/>
    </row>
    <row r="60" spans="1:17" ht="20.100000000000001" customHeight="1" x14ac:dyDescent="0.25">
      <c r="A60" s="5"/>
      <c r="B60" s="32"/>
      <c r="C60" s="1"/>
      <c r="D60" s="2"/>
      <c r="E60" s="2"/>
      <c r="F60" s="3"/>
      <c r="G60" s="2">
        <f t="shared" si="13"/>
        <v>0</v>
      </c>
      <c r="H60" s="2"/>
      <c r="I60" s="3"/>
      <c r="J60" s="3"/>
      <c r="K60" s="3"/>
      <c r="L60" s="3"/>
      <c r="M60" s="3"/>
      <c r="N60" s="3"/>
      <c r="O60" s="3"/>
      <c r="P60" s="3"/>
      <c r="Q60" s="12"/>
    </row>
    <row r="61" spans="1:17" ht="19.5" customHeight="1" x14ac:dyDescent="0.25">
      <c r="A61" s="5" t="s">
        <v>92</v>
      </c>
      <c r="B61" s="32" t="s">
        <v>230</v>
      </c>
      <c r="C61" s="8"/>
      <c r="D61" s="3">
        <f>SUM(D62:D66)</f>
        <v>288</v>
      </c>
      <c r="E61" s="3"/>
      <c r="F61" s="3">
        <f>SUM(F62:F66)</f>
        <v>288</v>
      </c>
      <c r="G61" s="3">
        <f>SUM(G62:G66)</f>
        <v>228</v>
      </c>
      <c r="H61" s="3">
        <f t="shared" ref="H61:P61" si="16">SUM(H62:H66)</f>
        <v>60</v>
      </c>
      <c r="I61" s="3">
        <f t="shared" si="16"/>
        <v>0</v>
      </c>
      <c r="J61" s="3">
        <f t="shared" si="16"/>
        <v>0</v>
      </c>
      <c r="K61" s="3">
        <f t="shared" si="16"/>
        <v>0</v>
      </c>
      <c r="L61" s="3">
        <f t="shared" si="16"/>
        <v>132</v>
      </c>
      <c r="M61" s="3">
        <f t="shared" si="16"/>
        <v>156</v>
      </c>
      <c r="N61" s="3">
        <f t="shared" si="16"/>
        <v>0</v>
      </c>
      <c r="O61" s="3">
        <f t="shared" si="16"/>
        <v>0</v>
      </c>
      <c r="P61" s="3">
        <f t="shared" si="16"/>
        <v>0</v>
      </c>
      <c r="Q61" s="12"/>
    </row>
    <row r="62" spans="1:17" ht="20.100000000000001" customHeight="1" x14ac:dyDescent="0.25">
      <c r="A62" s="6" t="s">
        <v>93</v>
      </c>
      <c r="B62" s="33" t="s">
        <v>111</v>
      </c>
      <c r="C62" s="7" t="s">
        <v>82</v>
      </c>
      <c r="D62" s="2">
        <f>E62+F62</f>
        <v>78</v>
      </c>
      <c r="E62" s="2"/>
      <c r="F62" s="3">
        <v>78</v>
      </c>
      <c r="G62" s="2">
        <f t="shared" si="13"/>
        <v>48</v>
      </c>
      <c r="H62" s="2">
        <v>30</v>
      </c>
      <c r="I62" s="2"/>
      <c r="J62" s="2">
        <v>0</v>
      </c>
      <c r="K62" s="2">
        <v>0</v>
      </c>
      <c r="L62" s="3">
        <v>36</v>
      </c>
      <c r="M62" s="3">
        <f>21*2</f>
        <v>42</v>
      </c>
      <c r="N62" s="2"/>
      <c r="O62" s="2"/>
      <c r="P62" s="2">
        <v>0</v>
      </c>
      <c r="Q62" s="12"/>
    </row>
    <row r="63" spans="1:17" ht="20.100000000000001" customHeight="1" x14ac:dyDescent="0.25">
      <c r="A63" s="6" t="s">
        <v>94</v>
      </c>
      <c r="B63" s="33" t="s">
        <v>112</v>
      </c>
      <c r="C63" s="7" t="s">
        <v>82</v>
      </c>
      <c r="D63" s="2">
        <f>E63+F63</f>
        <v>60</v>
      </c>
      <c r="E63" s="2"/>
      <c r="F63" s="3">
        <v>60</v>
      </c>
      <c r="G63" s="2">
        <f t="shared" si="13"/>
        <v>40</v>
      </c>
      <c r="H63" s="2">
        <v>20</v>
      </c>
      <c r="I63" s="2"/>
      <c r="J63" s="2">
        <v>0</v>
      </c>
      <c r="K63" s="2">
        <v>0</v>
      </c>
      <c r="L63" s="3">
        <f>15*4</f>
        <v>60</v>
      </c>
      <c r="M63" s="3"/>
      <c r="N63" s="2"/>
      <c r="O63" s="2"/>
      <c r="P63" s="2">
        <v>0</v>
      </c>
      <c r="Q63" s="12"/>
    </row>
    <row r="64" spans="1:17" ht="20.100000000000001" customHeight="1" x14ac:dyDescent="0.25">
      <c r="A64" s="6" t="s">
        <v>135</v>
      </c>
      <c r="B64" s="33" t="s">
        <v>113</v>
      </c>
      <c r="C64" s="7" t="s">
        <v>82</v>
      </c>
      <c r="D64" s="2">
        <v>42</v>
      </c>
      <c r="E64" s="2"/>
      <c r="F64" s="3">
        <v>42</v>
      </c>
      <c r="G64" s="2">
        <f t="shared" si="13"/>
        <v>32</v>
      </c>
      <c r="H64" s="3">
        <v>10</v>
      </c>
      <c r="I64" s="2"/>
      <c r="J64" s="2"/>
      <c r="K64" s="2"/>
      <c r="L64" s="2"/>
      <c r="M64" s="3">
        <f>21*2</f>
        <v>42</v>
      </c>
      <c r="N64" s="2"/>
      <c r="O64" s="2"/>
      <c r="P64" s="2"/>
      <c r="Q64" s="12"/>
    </row>
    <row r="65" spans="1:17" ht="20.100000000000001" customHeight="1" x14ac:dyDescent="0.25">
      <c r="A65" s="6" t="s">
        <v>136</v>
      </c>
      <c r="B65" s="33" t="s">
        <v>29</v>
      </c>
      <c r="C65" s="7" t="s">
        <v>91</v>
      </c>
      <c r="D65" s="2">
        <f t="shared" si="5"/>
        <v>108</v>
      </c>
      <c r="E65" s="2"/>
      <c r="F65" s="3">
        <v>108</v>
      </c>
      <c r="G65" s="2">
        <f t="shared" si="13"/>
        <v>108</v>
      </c>
      <c r="H65" s="2"/>
      <c r="I65" s="2"/>
      <c r="J65" s="2">
        <v>0</v>
      </c>
      <c r="K65" s="2">
        <v>0</v>
      </c>
      <c r="L65" s="3">
        <v>36</v>
      </c>
      <c r="M65" s="3">
        <v>72</v>
      </c>
      <c r="N65" s="2"/>
      <c r="O65" s="2"/>
      <c r="P65" s="2">
        <v>0</v>
      </c>
      <c r="Q65" s="12"/>
    </row>
    <row r="66" spans="1:17" ht="20.100000000000001" customHeight="1" x14ac:dyDescent="0.25">
      <c r="A66" s="6" t="s">
        <v>137</v>
      </c>
      <c r="B66" s="33" t="s">
        <v>30</v>
      </c>
      <c r="C66" s="1"/>
      <c r="D66" s="2">
        <f t="shared" si="5"/>
        <v>0</v>
      </c>
      <c r="E66" s="2"/>
      <c r="F66" s="2"/>
      <c r="G66" s="2">
        <f t="shared" si="13"/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12"/>
    </row>
    <row r="67" spans="1:17" ht="20.100000000000001" customHeight="1" x14ac:dyDescent="0.25">
      <c r="A67" s="6"/>
      <c r="B67" s="33"/>
      <c r="C67" s="1"/>
      <c r="D67" s="2"/>
      <c r="E67" s="2"/>
      <c r="F67" s="2"/>
      <c r="G67" s="2">
        <f t="shared" si="13"/>
        <v>0</v>
      </c>
      <c r="H67" s="2"/>
      <c r="I67" s="2"/>
      <c r="J67" s="2"/>
      <c r="K67" s="2"/>
      <c r="L67" s="2"/>
      <c r="M67" s="2"/>
      <c r="N67" s="2"/>
      <c r="O67" s="2"/>
      <c r="P67" s="2"/>
      <c r="Q67" s="12"/>
    </row>
    <row r="68" spans="1:17" ht="35.25" customHeight="1" x14ac:dyDescent="0.25">
      <c r="A68" s="5" t="s">
        <v>138</v>
      </c>
      <c r="B68" s="32" t="s">
        <v>231</v>
      </c>
      <c r="C68" s="8"/>
      <c r="D68" s="3">
        <f>SUM(D69:D72)</f>
        <v>219</v>
      </c>
      <c r="E68" s="3"/>
      <c r="F68" s="3">
        <f>SUM(F69:F72)</f>
        <v>219</v>
      </c>
      <c r="G68" s="3">
        <f>SUM(G69:G72)</f>
        <v>169</v>
      </c>
      <c r="H68" s="3">
        <f t="shared" ref="H68:P68" si="17">SUM(H69:H72)</f>
        <v>50</v>
      </c>
      <c r="I68" s="3">
        <f t="shared" si="17"/>
        <v>0</v>
      </c>
      <c r="J68" s="3">
        <f t="shared" si="17"/>
        <v>0</v>
      </c>
      <c r="K68" s="3">
        <f t="shared" si="17"/>
        <v>0</v>
      </c>
      <c r="L68" s="3">
        <f t="shared" si="17"/>
        <v>0</v>
      </c>
      <c r="M68" s="3">
        <f t="shared" si="17"/>
        <v>0</v>
      </c>
      <c r="N68" s="3">
        <f t="shared" si="17"/>
        <v>45</v>
      </c>
      <c r="O68" s="3">
        <f t="shared" si="17"/>
        <v>174</v>
      </c>
      <c r="P68" s="3">
        <f t="shared" si="17"/>
        <v>0</v>
      </c>
      <c r="Q68" s="12"/>
    </row>
    <row r="69" spans="1:17" ht="20.100000000000001" customHeight="1" x14ac:dyDescent="0.25">
      <c r="A69" s="13" t="s">
        <v>139</v>
      </c>
      <c r="B69" s="33" t="s">
        <v>114</v>
      </c>
      <c r="C69" s="7" t="s">
        <v>82</v>
      </c>
      <c r="D69" s="2">
        <f>E69+F69</f>
        <v>96</v>
      </c>
      <c r="E69" s="2"/>
      <c r="F69" s="3">
        <v>96</v>
      </c>
      <c r="G69" s="2">
        <f t="shared" si="13"/>
        <v>66</v>
      </c>
      <c r="H69" s="2">
        <v>30</v>
      </c>
      <c r="I69" s="2"/>
      <c r="J69" s="2">
        <v>0</v>
      </c>
      <c r="K69" s="2">
        <v>0</v>
      </c>
      <c r="L69" s="2">
        <v>0</v>
      </c>
      <c r="M69" s="2">
        <v>0</v>
      </c>
      <c r="N69" s="2">
        <f>15*3</f>
        <v>45</v>
      </c>
      <c r="O69" s="2">
        <f>17*3</f>
        <v>51</v>
      </c>
      <c r="P69" s="2"/>
      <c r="Q69" s="12"/>
    </row>
    <row r="70" spans="1:17" ht="20.100000000000001" customHeight="1" x14ac:dyDescent="0.25">
      <c r="A70" s="6" t="s">
        <v>140</v>
      </c>
      <c r="B70" s="33" t="s">
        <v>31</v>
      </c>
      <c r="C70" s="7" t="s">
        <v>82</v>
      </c>
      <c r="D70" s="2">
        <f>E70+F70</f>
        <v>51</v>
      </c>
      <c r="E70" s="2"/>
      <c r="F70" s="3">
        <v>51</v>
      </c>
      <c r="G70" s="2">
        <f t="shared" si="13"/>
        <v>31</v>
      </c>
      <c r="H70" s="2">
        <v>20</v>
      </c>
      <c r="I70" s="2"/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f>17*3</f>
        <v>51</v>
      </c>
      <c r="P70" s="2"/>
      <c r="Q70" s="12"/>
    </row>
    <row r="71" spans="1:17" ht="20.100000000000001" customHeight="1" x14ac:dyDescent="0.25">
      <c r="A71" s="6" t="s">
        <v>141</v>
      </c>
      <c r="B71" s="33" t="s">
        <v>29</v>
      </c>
      <c r="C71" s="7" t="s">
        <v>95</v>
      </c>
      <c r="D71" s="2">
        <f t="shared" si="5"/>
        <v>72</v>
      </c>
      <c r="E71" s="2"/>
      <c r="F71" s="3">
        <v>72</v>
      </c>
      <c r="G71" s="2">
        <f t="shared" si="13"/>
        <v>72</v>
      </c>
      <c r="H71" s="2"/>
      <c r="I71" s="2"/>
      <c r="J71" s="2">
        <v>0</v>
      </c>
      <c r="K71" s="2">
        <v>0</v>
      </c>
      <c r="L71" s="2">
        <v>0</v>
      </c>
      <c r="M71" s="2">
        <v>0</v>
      </c>
      <c r="N71" s="2"/>
      <c r="O71" s="2">
        <v>72</v>
      </c>
      <c r="P71" s="2"/>
      <c r="Q71" s="12"/>
    </row>
    <row r="72" spans="1:17" ht="20.100000000000001" customHeight="1" x14ac:dyDescent="0.25">
      <c r="A72" s="6" t="s">
        <v>142</v>
      </c>
      <c r="B72" s="33" t="s">
        <v>32</v>
      </c>
      <c r="C72" s="7" t="s">
        <v>96</v>
      </c>
      <c r="D72" s="2">
        <f t="shared" si="5"/>
        <v>0</v>
      </c>
      <c r="E72" s="2"/>
      <c r="F72" s="2"/>
      <c r="G72" s="2">
        <f t="shared" si="13"/>
        <v>0</v>
      </c>
      <c r="H72" s="2"/>
      <c r="I72" s="2"/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/>
      <c r="Q72" s="12"/>
    </row>
    <row r="73" spans="1:17" ht="20.100000000000001" customHeight="1" x14ac:dyDescent="0.25">
      <c r="A73" s="6"/>
      <c r="B73" s="33"/>
      <c r="C73" s="7"/>
      <c r="D73" s="2">
        <f t="shared" si="5"/>
        <v>0</v>
      </c>
      <c r="E73" s="2"/>
      <c r="F73" s="2"/>
      <c r="G73" s="2">
        <f t="shared" si="13"/>
        <v>0</v>
      </c>
      <c r="H73" s="2"/>
      <c r="I73" s="2"/>
      <c r="J73" s="2"/>
      <c r="K73" s="2"/>
      <c r="L73" s="2"/>
      <c r="M73" s="2"/>
      <c r="N73" s="2"/>
      <c r="O73" s="2"/>
      <c r="P73" s="2"/>
      <c r="Q73" s="12"/>
    </row>
    <row r="74" spans="1:17" ht="33" customHeight="1" x14ac:dyDescent="0.25">
      <c r="A74" s="5" t="s">
        <v>143</v>
      </c>
      <c r="B74" s="32" t="s">
        <v>232</v>
      </c>
      <c r="C74" s="7"/>
      <c r="D74" s="2">
        <f t="shared" si="5"/>
        <v>1023</v>
      </c>
      <c r="E74" s="2"/>
      <c r="F74" s="3">
        <f>SUM(F75:F79)</f>
        <v>1023</v>
      </c>
      <c r="G74" s="3">
        <f>SUM(G75:G79)</f>
        <v>659</v>
      </c>
      <c r="H74" s="3">
        <f t="shared" ref="H74:O74" si="18">SUM(H75:H79)</f>
        <v>364</v>
      </c>
      <c r="I74" s="3">
        <f t="shared" si="18"/>
        <v>0</v>
      </c>
      <c r="J74" s="3">
        <f t="shared" si="18"/>
        <v>0</v>
      </c>
      <c r="K74" s="3">
        <f t="shared" si="18"/>
        <v>0</v>
      </c>
      <c r="L74" s="3">
        <f t="shared" si="18"/>
        <v>0</v>
      </c>
      <c r="M74" s="3">
        <f t="shared" si="18"/>
        <v>42</v>
      </c>
      <c r="N74" s="3">
        <f t="shared" si="18"/>
        <v>105</v>
      </c>
      <c r="O74" s="3">
        <f t="shared" si="18"/>
        <v>344</v>
      </c>
      <c r="P74" s="3">
        <f>SUM(P75:P79)</f>
        <v>532</v>
      </c>
      <c r="Q74" s="12"/>
    </row>
    <row r="75" spans="1:17" ht="20.100000000000001" customHeight="1" x14ac:dyDescent="0.25">
      <c r="A75" s="13" t="s">
        <v>144</v>
      </c>
      <c r="B75" s="33" t="s">
        <v>115</v>
      </c>
      <c r="C75" s="7" t="s">
        <v>82</v>
      </c>
      <c r="D75" s="2">
        <f t="shared" si="5"/>
        <v>389</v>
      </c>
      <c r="E75" s="2"/>
      <c r="F75" s="2">
        <v>389</v>
      </c>
      <c r="G75" s="2">
        <f t="shared" si="13"/>
        <v>189</v>
      </c>
      <c r="H75" s="2">
        <v>200</v>
      </c>
      <c r="I75" s="2"/>
      <c r="J75" s="2"/>
      <c r="K75" s="2"/>
      <c r="L75" s="2"/>
      <c r="M75" s="2">
        <f>21*2</f>
        <v>42</v>
      </c>
      <c r="N75" s="2">
        <f>15*7</f>
        <v>105</v>
      </c>
      <c r="O75" s="2">
        <f>17*6</f>
        <v>102</v>
      </c>
      <c r="P75" s="2">
        <f>20*7</f>
        <v>140</v>
      </c>
      <c r="Q75" s="12"/>
    </row>
    <row r="76" spans="1:17" ht="20.100000000000001" customHeight="1" x14ac:dyDescent="0.25">
      <c r="A76" s="6" t="s">
        <v>145</v>
      </c>
      <c r="B76" s="33" t="s">
        <v>116</v>
      </c>
      <c r="C76" s="7" t="s">
        <v>82</v>
      </c>
      <c r="D76" s="2">
        <f t="shared" si="5"/>
        <v>276</v>
      </c>
      <c r="E76" s="2"/>
      <c r="F76" s="2">
        <v>276</v>
      </c>
      <c r="G76" s="2">
        <f t="shared" si="13"/>
        <v>126</v>
      </c>
      <c r="H76" s="2">
        <v>150</v>
      </c>
      <c r="I76" s="2"/>
      <c r="J76" s="2"/>
      <c r="K76" s="2"/>
      <c r="L76" s="2"/>
      <c r="M76" s="2"/>
      <c r="N76" s="2"/>
      <c r="O76" s="2">
        <f>17*8</f>
        <v>136</v>
      </c>
      <c r="P76" s="2">
        <f>20*7</f>
        <v>140</v>
      </c>
      <c r="Q76" s="12"/>
    </row>
    <row r="77" spans="1:17" ht="20.100000000000001" customHeight="1" x14ac:dyDescent="0.25">
      <c r="A77" s="6" t="s">
        <v>146</v>
      </c>
      <c r="B77" s="33" t="s">
        <v>117</v>
      </c>
      <c r="C77" s="7" t="s">
        <v>82</v>
      </c>
      <c r="D77" s="2">
        <f t="shared" si="5"/>
        <v>34</v>
      </c>
      <c r="E77" s="2"/>
      <c r="F77" s="2">
        <v>34</v>
      </c>
      <c r="G77" s="2">
        <f t="shared" si="13"/>
        <v>20</v>
      </c>
      <c r="H77" s="2">
        <v>14</v>
      </c>
      <c r="I77" s="2"/>
      <c r="J77" s="2"/>
      <c r="K77" s="2"/>
      <c r="L77" s="2"/>
      <c r="M77" s="2"/>
      <c r="N77" s="2"/>
      <c r="O77" s="2">
        <f>17*2</f>
        <v>34</v>
      </c>
      <c r="P77" s="2"/>
      <c r="Q77" s="12"/>
    </row>
    <row r="78" spans="1:17" ht="20.100000000000001" customHeight="1" x14ac:dyDescent="0.25">
      <c r="A78" s="6" t="s">
        <v>147</v>
      </c>
      <c r="B78" s="33" t="s">
        <v>29</v>
      </c>
      <c r="C78" s="7" t="s">
        <v>95</v>
      </c>
      <c r="D78" s="2">
        <f t="shared" si="5"/>
        <v>144</v>
      </c>
      <c r="E78" s="2"/>
      <c r="F78" s="2">
        <v>144</v>
      </c>
      <c r="G78" s="2">
        <f t="shared" si="13"/>
        <v>144</v>
      </c>
      <c r="H78" s="2"/>
      <c r="I78" s="2"/>
      <c r="J78" s="2"/>
      <c r="K78" s="2"/>
      <c r="L78" s="2"/>
      <c r="M78" s="2"/>
      <c r="N78" s="2"/>
      <c r="O78" s="2">
        <v>72</v>
      </c>
      <c r="P78" s="3">
        <v>72</v>
      </c>
      <c r="Q78" s="12"/>
    </row>
    <row r="79" spans="1:17" ht="20.100000000000001" customHeight="1" x14ac:dyDescent="0.25">
      <c r="A79" s="6" t="s">
        <v>148</v>
      </c>
      <c r="B79" s="33" t="s">
        <v>32</v>
      </c>
      <c r="C79" s="7" t="s">
        <v>96</v>
      </c>
      <c r="D79" s="2">
        <f t="shared" si="5"/>
        <v>180</v>
      </c>
      <c r="E79" s="2"/>
      <c r="F79" s="2">
        <v>180</v>
      </c>
      <c r="G79" s="2">
        <f t="shared" si="13"/>
        <v>180</v>
      </c>
      <c r="H79" s="2"/>
      <c r="I79" s="2"/>
      <c r="J79" s="2"/>
      <c r="K79" s="2"/>
      <c r="L79" s="2"/>
      <c r="M79" s="2"/>
      <c r="N79" s="2"/>
      <c r="O79" s="2"/>
      <c r="P79" s="2">
        <f>36*5</f>
        <v>180</v>
      </c>
      <c r="Q79" s="12"/>
    </row>
    <row r="80" spans="1:17" ht="20.100000000000001" customHeight="1" x14ac:dyDescent="0.25">
      <c r="A80" s="6"/>
      <c r="B80" s="33"/>
      <c r="C80" s="7"/>
      <c r="D80" s="2">
        <f t="shared" si="5"/>
        <v>0</v>
      </c>
      <c r="E80" s="2"/>
      <c r="F80" s="2"/>
      <c r="G80" s="2">
        <f t="shared" si="13"/>
        <v>0</v>
      </c>
      <c r="H80" s="2"/>
      <c r="I80" s="2"/>
      <c r="J80" s="2"/>
      <c r="K80" s="2"/>
      <c r="L80" s="2"/>
      <c r="M80" s="2"/>
      <c r="N80" s="2"/>
      <c r="O80" s="2"/>
      <c r="P80" s="2"/>
      <c r="Q80" s="12"/>
    </row>
    <row r="81" spans="1:17" ht="33.75" customHeight="1" x14ac:dyDescent="0.25">
      <c r="A81" s="5" t="s">
        <v>149</v>
      </c>
      <c r="B81" s="32" t="s">
        <v>234</v>
      </c>
      <c r="C81" s="7"/>
      <c r="D81" s="2">
        <f t="shared" si="5"/>
        <v>528</v>
      </c>
      <c r="E81" s="2"/>
      <c r="F81" s="3">
        <f>SUM(F82:F87)</f>
        <v>528</v>
      </c>
      <c r="G81" s="3">
        <f>SUM(G82:G87)</f>
        <v>368</v>
      </c>
      <c r="H81" s="3">
        <f t="shared" ref="H81:P81" si="19">SUM(H82:H87)</f>
        <v>160</v>
      </c>
      <c r="I81" s="3">
        <f t="shared" si="19"/>
        <v>0</v>
      </c>
      <c r="J81" s="3">
        <f t="shared" si="19"/>
        <v>0</v>
      </c>
      <c r="K81" s="3">
        <f t="shared" si="19"/>
        <v>0</v>
      </c>
      <c r="L81" s="3">
        <f t="shared" si="19"/>
        <v>48</v>
      </c>
      <c r="M81" s="3">
        <f t="shared" si="19"/>
        <v>84</v>
      </c>
      <c r="N81" s="3">
        <f t="shared" si="19"/>
        <v>294</v>
      </c>
      <c r="O81" s="3">
        <f t="shared" si="19"/>
        <v>102</v>
      </c>
      <c r="P81" s="3">
        <f t="shared" si="19"/>
        <v>0</v>
      </c>
      <c r="Q81" s="12"/>
    </row>
    <row r="82" spans="1:17" ht="20.100000000000001" customHeight="1" x14ac:dyDescent="0.25">
      <c r="A82" s="13" t="s">
        <v>150</v>
      </c>
      <c r="B82" s="33" t="s">
        <v>118</v>
      </c>
      <c r="C82" s="7" t="s">
        <v>82</v>
      </c>
      <c r="D82" s="2">
        <f t="shared" si="5"/>
        <v>158</v>
      </c>
      <c r="E82" s="2"/>
      <c r="F82" s="2">
        <v>158</v>
      </c>
      <c r="G82" s="2">
        <f t="shared" si="13"/>
        <v>98</v>
      </c>
      <c r="H82" s="2">
        <v>60</v>
      </c>
      <c r="I82" s="2"/>
      <c r="J82" s="2"/>
      <c r="K82" s="2"/>
      <c r="L82" s="2"/>
      <c r="M82" s="2"/>
      <c r="N82" s="2">
        <f>15*6</f>
        <v>90</v>
      </c>
      <c r="O82" s="2">
        <f>17*4</f>
        <v>68</v>
      </c>
      <c r="P82" s="2"/>
      <c r="Q82" s="12"/>
    </row>
    <row r="83" spans="1:17" ht="20.100000000000001" customHeight="1" x14ac:dyDescent="0.25">
      <c r="A83" s="6" t="s">
        <v>151</v>
      </c>
      <c r="B83" s="33" t="s">
        <v>119</v>
      </c>
      <c r="C83" s="7" t="s">
        <v>82</v>
      </c>
      <c r="D83" s="2">
        <f t="shared" si="5"/>
        <v>94</v>
      </c>
      <c r="E83" s="2"/>
      <c r="F83" s="2">
        <v>94</v>
      </c>
      <c r="G83" s="2">
        <f t="shared" si="13"/>
        <v>54</v>
      </c>
      <c r="H83" s="2">
        <v>40</v>
      </c>
      <c r="I83" s="2"/>
      <c r="J83" s="2"/>
      <c r="K83" s="2"/>
      <c r="L83" s="2"/>
      <c r="M83" s="2"/>
      <c r="N83" s="2">
        <f>15*4</f>
        <v>60</v>
      </c>
      <c r="O83" s="2">
        <f>17*2</f>
        <v>34</v>
      </c>
      <c r="P83" s="2"/>
      <c r="Q83" s="12"/>
    </row>
    <row r="84" spans="1:17" ht="20.100000000000001" customHeight="1" x14ac:dyDescent="0.25">
      <c r="A84" s="13" t="s">
        <v>152</v>
      </c>
      <c r="B84" s="33" t="s">
        <v>23</v>
      </c>
      <c r="C84" s="7" t="s">
        <v>82</v>
      </c>
      <c r="D84" s="2">
        <f t="shared" si="5"/>
        <v>90</v>
      </c>
      <c r="E84" s="2"/>
      <c r="F84" s="3">
        <v>90</v>
      </c>
      <c r="G84" s="2">
        <f t="shared" si="13"/>
        <v>50</v>
      </c>
      <c r="H84" s="2">
        <v>40</v>
      </c>
      <c r="I84" s="2"/>
      <c r="J84" s="2"/>
      <c r="K84" s="2"/>
      <c r="L84" s="3">
        <f>16*3</f>
        <v>48</v>
      </c>
      <c r="M84" s="3">
        <f>21*2</f>
        <v>42</v>
      </c>
      <c r="N84" s="2"/>
      <c r="O84" s="2"/>
      <c r="P84" s="2"/>
      <c r="Q84" s="12"/>
    </row>
    <row r="85" spans="1:17" ht="20.100000000000001" customHeight="1" x14ac:dyDescent="0.25">
      <c r="A85" s="6" t="s">
        <v>153</v>
      </c>
      <c r="B85" s="33" t="s">
        <v>120</v>
      </c>
      <c r="C85" s="7" t="s">
        <v>82</v>
      </c>
      <c r="D85" s="2">
        <f t="shared" si="5"/>
        <v>42</v>
      </c>
      <c r="E85" s="2"/>
      <c r="F85" s="2">
        <v>42</v>
      </c>
      <c r="G85" s="2">
        <f t="shared" si="13"/>
        <v>22</v>
      </c>
      <c r="H85" s="2">
        <v>20</v>
      </c>
      <c r="I85" s="2"/>
      <c r="J85" s="2"/>
      <c r="K85" s="2"/>
      <c r="L85" s="2"/>
      <c r="M85" s="3">
        <f>21*2</f>
        <v>42</v>
      </c>
      <c r="N85" s="2"/>
      <c r="O85" s="2"/>
      <c r="P85" s="2"/>
      <c r="Q85" s="12"/>
    </row>
    <row r="86" spans="1:17" ht="20.100000000000001" customHeight="1" x14ac:dyDescent="0.25">
      <c r="A86" s="6" t="s">
        <v>154</v>
      </c>
      <c r="B86" s="33" t="s">
        <v>29</v>
      </c>
      <c r="C86" s="7" t="s">
        <v>95</v>
      </c>
      <c r="D86" s="2">
        <f t="shared" si="5"/>
        <v>144</v>
      </c>
      <c r="E86" s="2"/>
      <c r="F86" s="2">
        <v>144</v>
      </c>
      <c r="G86" s="2">
        <f t="shared" si="13"/>
        <v>144</v>
      </c>
      <c r="H86" s="2"/>
      <c r="I86" s="2"/>
      <c r="J86" s="2"/>
      <c r="K86" s="2"/>
      <c r="L86" s="2"/>
      <c r="M86" s="3"/>
      <c r="N86" s="2">
        <f>36*4</f>
        <v>144</v>
      </c>
      <c r="O86" s="2"/>
      <c r="P86" s="2"/>
      <c r="Q86" s="12"/>
    </row>
    <row r="87" spans="1:17" ht="20.100000000000001" customHeight="1" x14ac:dyDescent="0.25">
      <c r="A87" s="6" t="s">
        <v>155</v>
      </c>
      <c r="B87" s="33" t="s">
        <v>32</v>
      </c>
      <c r="C87" s="7" t="s">
        <v>96</v>
      </c>
      <c r="D87" s="2">
        <f t="shared" si="5"/>
        <v>0</v>
      </c>
      <c r="E87" s="2"/>
      <c r="F87" s="2"/>
      <c r="G87" s="2">
        <f t="shared" si="13"/>
        <v>0</v>
      </c>
      <c r="H87" s="2"/>
      <c r="I87" s="2"/>
      <c r="J87" s="2"/>
      <c r="K87" s="2"/>
      <c r="L87" s="2"/>
      <c r="M87" s="2"/>
      <c r="N87" s="2"/>
      <c r="O87" s="2"/>
      <c r="P87" s="2"/>
      <c r="Q87" s="12"/>
    </row>
    <row r="88" spans="1:17" ht="20.100000000000001" customHeight="1" x14ac:dyDescent="0.25">
      <c r="A88" s="6"/>
      <c r="B88" s="33"/>
      <c r="C88" s="7"/>
      <c r="D88" s="2">
        <f t="shared" si="5"/>
        <v>0</v>
      </c>
      <c r="E88" s="2"/>
      <c r="F88" s="2"/>
      <c r="G88" s="2">
        <f t="shared" si="13"/>
        <v>0</v>
      </c>
      <c r="H88" s="2"/>
      <c r="I88" s="2"/>
      <c r="J88" s="2"/>
      <c r="K88" s="2"/>
      <c r="L88" s="2"/>
      <c r="M88" s="2"/>
      <c r="N88" s="2"/>
      <c r="O88" s="2"/>
      <c r="P88" s="2"/>
      <c r="Q88" s="12"/>
    </row>
    <row r="89" spans="1:17" ht="50.25" customHeight="1" x14ac:dyDescent="0.25">
      <c r="A89" s="5" t="s">
        <v>156</v>
      </c>
      <c r="B89" s="32" t="s">
        <v>235</v>
      </c>
      <c r="C89" s="7"/>
      <c r="D89" s="2">
        <f t="shared" si="5"/>
        <v>248</v>
      </c>
      <c r="E89" s="2"/>
      <c r="F89" s="3">
        <f>SUM(F90:F93)</f>
        <v>248</v>
      </c>
      <c r="G89" s="3">
        <f>SUM(G90:G93)</f>
        <v>178</v>
      </c>
      <c r="H89" s="3">
        <f t="shared" ref="H89:O89" si="20">SUM(H90:H93)</f>
        <v>70</v>
      </c>
      <c r="I89" s="3">
        <f t="shared" si="20"/>
        <v>0</v>
      </c>
      <c r="J89" s="3">
        <f t="shared" si="20"/>
        <v>0</v>
      </c>
      <c r="K89" s="3">
        <f t="shared" si="20"/>
        <v>0</v>
      </c>
      <c r="L89" s="3">
        <f t="shared" si="20"/>
        <v>0</v>
      </c>
      <c r="M89" s="3">
        <f t="shared" si="20"/>
        <v>0</v>
      </c>
      <c r="N89" s="3">
        <f t="shared" si="20"/>
        <v>0</v>
      </c>
      <c r="O89" s="3">
        <f t="shared" si="20"/>
        <v>0</v>
      </c>
      <c r="P89" s="3">
        <f>SUM(P90:P93)</f>
        <v>0</v>
      </c>
      <c r="Q89" s="12"/>
    </row>
    <row r="90" spans="1:17" ht="20.100000000000001" customHeight="1" x14ac:dyDescent="0.25">
      <c r="A90" s="13" t="s">
        <v>157</v>
      </c>
      <c r="B90" s="33" t="s">
        <v>121</v>
      </c>
      <c r="C90" s="7"/>
      <c r="D90" s="2">
        <f t="shared" si="5"/>
        <v>100</v>
      </c>
      <c r="E90" s="2"/>
      <c r="F90" s="3">
        <v>100</v>
      </c>
      <c r="G90" s="2">
        <f t="shared" si="13"/>
        <v>40</v>
      </c>
      <c r="H90" s="2">
        <v>60</v>
      </c>
      <c r="I90" s="2"/>
      <c r="J90" s="2"/>
      <c r="K90" s="2"/>
      <c r="L90" s="2"/>
      <c r="M90" s="2"/>
      <c r="N90" s="2"/>
      <c r="O90" s="2"/>
      <c r="P90" s="2" t="s">
        <v>82</v>
      </c>
      <c r="Q90" s="12"/>
    </row>
    <row r="91" spans="1:17" ht="20.100000000000001" customHeight="1" x14ac:dyDescent="0.25">
      <c r="A91" s="6" t="s">
        <v>158</v>
      </c>
      <c r="B91" s="33" t="s">
        <v>122</v>
      </c>
      <c r="C91" s="7"/>
      <c r="D91" s="2">
        <f t="shared" si="5"/>
        <v>40</v>
      </c>
      <c r="E91" s="2"/>
      <c r="F91" s="3">
        <v>40</v>
      </c>
      <c r="G91" s="2">
        <f t="shared" si="13"/>
        <v>30</v>
      </c>
      <c r="H91" s="2">
        <v>10</v>
      </c>
      <c r="I91" s="2"/>
      <c r="J91" s="2"/>
      <c r="K91" s="2"/>
      <c r="L91" s="2"/>
      <c r="M91" s="2"/>
      <c r="N91" s="2"/>
      <c r="O91" s="2"/>
      <c r="P91" s="2" t="s">
        <v>82</v>
      </c>
      <c r="Q91" s="12"/>
    </row>
    <row r="92" spans="1:17" ht="20.100000000000001" customHeight="1" x14ac:dyDescent="0.25">
      <c r="A92" s="6" t="s">
        <v>159</v>
      </c>
      <c r="B92" s="33" t="s">
        <v>29</v>
      </c>
      <c r="C92" s="7" t="s">
        <v>95</v>
      </c>
      <c r="D92" s="2">
        <f t="shared" si="5"/>
        <v>36</v>
      </c>
      <c r="E92" s="2"/>
      <c r="F92" s="3">
        <v>36</v>
      </c>
      <c r="G92" s="2">
        <f t="shared" si="13"/>
        <v>36</v>
      </c>
      <c r="H92" s="2"/>
      <c r="I92" s="2"/>
      <c r="J92" s="2"/>
      <c r="K92" s="2"/>
      <c r="L92" s="2"/>
      <c r="M92" s="2"/>
      <c r="N92" s="2"/>
      <c r="O92" s="2"/>
      <c r="P92" s="3" t="s">
        <v>95</v>
      </c>
      <c r="Q92" s="12"/>
    </row>
    <row r="93" spans="1:17" ht="20.100000000000001" customHeight="1" x14ac:dyDescent="0.25">
      <c r="A93" s="6" t="s">
        <v>160</v>
      </c>
      <c r="B93" s="33" t="s">
        <v>32</v>
      </c>
      <c r="C93" s="7" t="s">
        <v>96</v>
      </c>
      <c r="D93" s="2">
        <f t="shared" si="5"/>
        <v>72</v>
      </c>
      <c r="E93" s="2"/>
      <c r="F93" s="2">
        <v>72</v>
      </c>
      <c r="G93" s="2">
        <f t="shared" si="13"/>
        <v>72</v>
      </c>
      <c r="H93" s="2"/>
      <c r="I93" s="2"/>
      <c r="J93" s="2"/>
      <c r="K93" s="2"/>
      <c r="L93" s="2"/>
      <c r="M93" s="2"/>
      <c r="N93" s="2"/>
      <c r="O93" s="2"/>
      <c r="P93" s="2" t="s">
        <v>96</v>
      </c>
      <c r="Q93" s="12"/>
    </row>
    <row r="94" spans="1:17" ht="20.100000000000001" customHeight="1" x14ac:dyDescent="0.25">
      <c r="A94" s="6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2"/>
    </row>
    <row r="95" spans="1:17" ht="20.100000000000001" customHeight="1" x14ac:dyDescent="0.25">
      <c r="A95" s="4"/>
      <c r="B95" s="34" t="s">
        <v>161</v>
      </c>
      <c r="C95" s="1"/>
      <c r="D95" s="2" t="s">
        <v>162</v>
      </c>
      <c r="E95" s="2">
        <f t="shared" ref="E95" si="21">F95/2</f>
        <v>0</v>
      </c>
      <c r="F95" s="2"/>
      <c r="G95" s="2">
        <f t="shared" si="6"/>
        <v>0</v>
      </c>
      <c r="H95" s="2"/>
      <c r="I95" s="2"/>
      <c r="J95" s="2"/>
      <c r="K95" s="2"/>
      <c r="L95" s="2"/>
      <c r="M95" s="2"/>
      <c r="N95" s="2"/>
      <c r="O95" s="2"/>
      <c r="P95" s="2"/>
      <c r="Q95" s="12"/>
    </row>
    <row r="96" spans="1:17" ht="20.100000000000001" customHeight="1" x14ac:dyDescent="0.25">
      <c r="A96" s="4"/>
      <c r="B96" s="32" t="s">
        <v>33</v>
      </c>
      <c r="C96" s="1"/>
      <c r="D96" s="3">
        <f>D42+D37+D27+D5</f>
        <v>3960</v>
      </c>
      <c r="E96" s="3">
        <f t="shared" ref="E96" si="22">E42+E37+E27+E5</f>
        <v>0</v>
      </c>
      <c r="F96" s="3">
        <f>F42+F37+F27+F5</f>
        <v>5364</v>
      </c>
      <c r="G96" s="3">
        <f>G42+G37+G27+G5</f>
        <v>3085</v>
      </c>
      <c r="H96" s="3">
        <f t="shared" ref="H96:P96" si="23">H42+H37+H27+H5</f>
        <v>1252</v>
      </c>
      <c r="I96" s="3">
        <f t="shared" si="23"/>
        <v>0</v>
      </c>
      <c r="J96" s="3">
        <f t="shared" si="23"/>
        <v>615</v>
      </c>
      <c r="K96" s="3">
        <f t="shared" si="23"/>
        <v>789</v>
      </c>
      <c r="L96" s="3">
        <f t="shared" si="23"/>
        <v>612</v>
      </c>
      <c r="M96" s="3">
        <f t="shared" si="23"/>
        <v>828</v>
      </c>
      <c r="N96" s="3">
        <f t="shared" si="23"/>
        <v>684</v>
      </c>
      <c r="O96" s="3">
        <f t="shared" si="23"/>
        <v>756</v>
      </c>
      <c r="P96" s="3">
        <f t="shared" si="23"/>
        <v>832</v>
      </c>
      <c r="Q96" s="12"/>
    </row>
    <row r="98" spans="4:16" x14ac:dyDescent="0.25">
      <c r="G98" s="571" t="s">
        <v>200</v>
      </c>
      <c r="H98" s="35" t="s">
        <v>197</v>
      </c>
      <c r="I98" s="35"/>
      <c r="J98" s="35">
        <f>J96/36</f>
        <v>17.083333333333332</v>
      </c>
      <c r="K98" s="35">
        <f t="shared" ref="K98:P98" si="24">K96/36</f>
        <v>21.916666666666668</v>
      </c>
      <c r="L98" s="35">
        <f t="shared" si="24"/>
        <v>17</v>
      </c>
      <c r="M98" s="35">
        <f t="shared" si="24"/>
        <v>23</v>
      </c>
      <c r="N98" s="35">
        <f t="shared" si="24"/>
        <v>19</v>
      </c>
      <c r="O98" s="35">
        <f t="shared" si="24"/>
        <v>21</v>
      </c>
      <c r="P98" s="35">
        <f t="shared" si="24"/>
        <v>23.111111111111111</v>
      </c>
    </row>
    <row r="99" spans="4:16" x14ac:dyDescent="0.25">
      <c r="G99" s="571"/>
      <c r="H99" s="35" t="s">
        <v>198</v>
      </c>
      <c r="I99" s="35"/>
      <c r="J99" s="35"/>
      <c r="K99" s="35"/>
      <c r="L99" s="38">
        <f>L65+L66+L71+L72+L78+L79+L86+L87+L92+L93</f>
        <v>36</v>
      </c>
      <c r="M99" s="38">
        <f t="shared" ref="M99:O99" si="25">M65+M66+M71+M72+M78+M79+M86+M87+M92+M93</f>
        <v>72</v>
      </c>
      <c r="N99" s="38">
        <f t="shared" si="25"/>
        <v>144</v>
      </c>
      <c r="O99" s="38">
        <f t="shared" si="25"/>
        <v>144</v>
      </c>
      <c r="P99" s="38" t="e">
        <f>P65+P66+P71+P72+P78+P79+P86+P87+P92+P93</f>
        <v>#VALUE!</v>
      </c>
    </row>
    <row r="100" spans="4:16" x14ac:dyDescent="0.25">
      <c r="D100" s="14" t="s">
        <v>102</v>
      </c>
      <c r="F100" s="14">
        <v>216</v>
      </c>
      <c r="G100" s="571"/>
      <c r="H100" s="35" t="s">
        <v>100</v>
      </c>
      <c r="I100" s="35"/>
      <c r="J100" s="38">
        <f>J96-J65-J72-J71</f>
        <v>615</v>
      </c>
      <c r="K100" s="38">
        <f t="shared" ref="K100" si="26">K96-K65-K72-K71</f>
        <v>789</v>
      </c>
      <c r="L100" s="38">
        <f>L96-L99</f>
        <v>576</v>
      </c>
      <c r="M100" s="38">
        <f t="shared" ref="M100:P100" si="27">M96-M99</f>
        <v>756</v>
      </c>
      <c r="N100" s="38">
        <f t="shared" si="27"/>
        <v>540</v>
      </c>
      <c r="O100" s="38">
        <f t="shared" si="27"/>
        <v>612</v>
      </c>
      <c r="P100" s="38" t="e">
        <f t="shared" si="27"/>
        <v>#VALUE!</v>
      </c>
    </row>
    <row r="101" spans="4:16" x14ac:dyDescent="0.25">
      <c r="G101" s="571"/>
      <c r="H101" s="35" t="s">
        <v>199</v>
      </c>
      <c r="I101" s="35"/>
      <c r="J101" s="35">
        <f>J100/36</f>
        <v>17.083333333333332</v>
      </c>
      <c r="K101" s="35">
        <f t="shared" ref="K101:P101" si="28">K100/36</f>
        <v>21.916666666666668</v>
      </c>
      <c r="L101" s="35">
        <f t="shared" si="28"/>
        <v>16</v>
      </c>
      <c r="M101" s="35">
        <f t="shared" si="28"/>
        <v>21</v>
      </c>
      <c r="N101" s="35">
        <f t="shared" si="28"/>
        <v>15</v>
      </c>
      <c r="O101" s="35">
        <f t="shared" si="28"/>
        <v>17</v>
      </c>
      <c r="P101" s="35" t="e">
        <f t="shared" si="28"/>
        <v>#VALUE!</v>
      </c>
    </row>
    <row r="102" spans="4:16" x14ac:dyDescent="0.25">
      <c r="D102" s="14" t="s">
        <v>103</v>
      </c>
      <c r="F102" s="14">
        <v>1296</v>
      </c>
      <c r="G102" s="571"/>
      <c r="H102" s="35"/>
      <c r="I102" s="35"/>
      <c r="J102" s="35"/>
      <c r="K102" s="35"/>
      <c r="L102" s="35"/>
      <c r="M102" s="35"/>
      <c r="N102" s="35"/>
      <c r="O102" s="35"/>
      <c r="P102" s="35"/>
    </row>
    <row r="103" spans="4:16" x14ac:dyDescent="0.25">
      <c r="G103" s="571"/>
      <c r="H103" s="35" t="s">
        <v>101</v>
      </c>
      <c r="I103" s="35"/>
      <c r="J103" s="35">
        <f>(J65+J66+J71+J72)/36</f>
        <v>0</v>
      </c>
      <c r="K103" s="35">
        <f t="shared" ref="K103" si="29">(K65+K66+K71+K72)/36</f>
        <v>0</v>
      </c>
      <c r="L103" s="35">
        <f>L99/36</f>
        <v>1</v>
      </c>
      <c r="M103" s="35">
        <f t="shared" ref="M103:P103" si="30">M99/36</f>
        <v>2</v>
      </c>
      <c r="N103" s="35">
        <f t="shared" si="30"/>
        <v>4</v>
      </c>
      <c r="O103" s="35">
        <f t="shared" si="30"/>
        <v>4</v>
      </c>
      <c r="P103" s="35" t="e">
        <f t="shared" si="30"/>
        <v>#VALUE!</v>
      </c>
    </row>
    <row r="104" spans="4:16" x14ac:dyDescent="0.25">
      <c r="P104" s="15"/>
    </row>
    <row r="105" spans="4:16" x14ac:dyDescent="0.25">
      <c r="H105" s="14" t="s">
        <v>201</v>
      </c>
      <c r="L105" s="14">
        <f>17*36</f>
        <v>612</v>
      </c>
      <c r="M105" s="14">
        <f>23*36</f>
        <v>828</v>
      </c>
      <c r="N105" s="14">
        <f>19*36</f>
        <v>684</v>
      </c>
      <c r="O105" s="14">
        <f>21*36</f>
        <v>756</v>
      </c>
      <c r="P105" s="14">
        <f>30*36</f>
        <v>1080</v>
      </c>
    </row>
    <row r="106" spans="4:16" x14ac:dyDescent="0.25">
      <c r="H106" s="14" t="s">
        <v>202</v>
      </c>
      <c r="L106" s="14">
        <f>16*36</f>
        <v>576</v>
      </c>
      <c r="M106" s="14">
        <f>21*36</f>
        <v>756</v>
      </c>
      <c r="N106" s="14">
        <f>15*36</f>
        <v>540</v>
      </c>
      <c r="O106" s="14">
        <f>17*36</f>
        <v>612</v>
      </c>
      <c r="P106" s="14">
        <f>20*36</f>
        <v>720</v>
      </c>
    </row>
    <row r="108" spans="4:16" x14ac:dyDescent="0.25">
      <c r="G108" s="572" t="s">
        <v>203</v>
      </c>
      <c r="H108" s="36" t="s">
        <v>99</v>
      </c>
      <c r="L108" s="15">
        <f>L105-L96</f>
        <v>0</v>
      </c>
      <c r="M108" s="15">
        <f t="shared" ref="M108:P108" si="31">M105-M96</f>
        <v>0</v>
      </c>
      <c r="N108" s="15">
        <f t="shared" si="31"/>
        <v>0</v>
      </c>
      <c r="O108" s="15">
        <f t="shared" si="31"/>
        <v>0</v>
      </c>
      <c r="P108" s="15">
        <f t="shared" si="31"/>
        <v>248</v>
      </c>
    </row>
    <row r="109" spans="4:16" x14ac:dyDescent="0.25">
      <c r="G109" s="572"/>
      <c r="H109" s="14" t="s">
        <v>228</v>
      </c>
      <c r="L109" s="15">
        <f>L100-L106</f>
        <v>0</v>
      </c>
      <c r="M109" s="15">
        <f t="shared" ref="M109:P109" si="32">M100-M106</f>
        <v>0</v>
      </c>
      <c r="N109" s="15">
        <f t="shared" si="32"/>
        <v>0</v>
      </c>
      <c r="O109" s="15">
        <f t="shared" si="32"/>
        <v>0</v>
      </c>
      <c r="P109" s="15" t="e">
        <f t="shared" si="32"/>
        <v>#VALUE!</v>
      </c>
    </row>
    <row r="110" spans="4:16" x14ac:dyDescent="0.25">
      <c r="F110" s="15"/>
    </row>
    <row r="114" spans="6:6" x14ac:dyDescent="0.25">
      <c r="F114" s="15"/>
    </row>
  </sheetData>
  <mergeCells count="17">
    <mergeCell ref="A1:A4"/>
    <mergeCell ref="E2:E4"/>
    <mergeCell ref="D2:D4"/>
    <mergeCell ref="D1:P1"/>
    <mergeCell ref="C1:C4"/>
    <mergeCell ref="B1:B4"/>
    <mergeCell ref="J2:P2"/>
    <mergeCell ref="F2:I2"/>
    <mergeCell ref="G3:I3"/>
    <mergeCell ref="J3:K3"/>
    <mergeCell ref="L3:M3"/>
    <mergeCell ref="N3:O3"/>
    <mergeCell ref="F3:F4"/>
    <mergeCell ref="C21:C22"/>
    <mergeCell ref="C45:C46"/>
    <mergeCell ref="G98:G103"/>
    <mergeCell ref="G108:G109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34"/>
  <sheetViews>
    <sheetView topLeftCell="A4" workbookViewId="0">
      <selection activeCell="F8" sqref="F8"/>
    </sheetView>
  </sheetViews>
  <sheetFormatPr defaultRowHeight="15.75" x14ac:dyDescent="0.25"/>
  <cols>
    <col min="4" max="4" width="50.25" customWidth="1"/>
    <col min="5" max="5" width="14.625" customWidth="1"/>
    <col min="6" max="6" width="31.25" customWidth="1"/>
    <col min="7" max="7" width="19.625" customWidth="1"/>
  </cols>
  <sheetData>
    <row r="2" spans="1:7" x14ac:dyDescent="0.25">
      <c r="A2" t="s">
        <v>190</v>
      </c>
      <c r="B2" t="s">
        <v>225</v>
      </c>
      <c r="C2" t="s">
        <v>245</v>
      </c>
      <c r="D2" t="s">
        <v>246</v>
      </c>
      <c r="E2" t="s">
        <v>226</v>
      </c>
      <c r="F2" t="s">
        <v>248</v>
      </c>
    </row>
    <row r="3" spans="1:7" x14ac:dyDescent="0.25">
      <c r="A3">
        <v>2</v>
      </c>
      <c r="B3">
        <v>1</v>
      </c>
      <c r="C3" t="s">
        <v>250</v>
      </c>
      <c r="D3" t="s">
        <v>247</v>
      </c>
      <c r="E3">
        <v>36</v>
      </c>
      <c r="G3" t="s">
        <v>337</v>
      </c>
    </row>
    <row r="4" spans="1:7" x14ac:dyDescent="0.25">
      <c r="A4">
        <v>2</v>
      </c>
      <c r="B4">
        <v>2</v>
      </c>
      <c r="C4" t="s">
        <v>251</v>
      </c>
      <c r="D4" t="s">
        <v>252</v>
      </c>
      <c r="E4">
        <v>36</v>
      </c>
      <c r="F4" t="s">
        <v>249</v>
      </c>
      <c r="G4" t="s">
        <v>297</v>
      </c>
    </row>
    <row r="5" spans="1:7" x14ac:dyDescent="0.25">
      <c r="A5">
        <v>2</v>
      </c>
      <c r="B5">
        <v>2</v>
      </c>
      <c r="C5" t="s">
        <v>253</v>
      </c>
      <c r="D5" t="s">
        <v>113</v>
      </c>
      <c r="E5">
        <v>36</v>
      </c>
      <c r="F5" t="s">
        <v>254</v>
      </c>
      <c r="G5" t="s">
        <v>297</v>
      </c>
    </row>
    <row r="6" spans="1:7" x14ac:dyDescent="0.25">
      <c r="A6">
        <v>2</v>
      </c>
      <c r="B6">
        <v>2</v>
      </c>
      <c r="C6" t="s">
        <v>256</v>
      </c>
      <c r="D6" t="s">
        <v>257</v>
      </c>
      <c r="E6">
        <v>36</v>
      </c>
      <c r="F6" t="s">
        <v>255</v>
      </c>
      <c r="G6" t="s">
        <v>297</v>
      </c>
    </row>
    <row r="8" spans="1:7" x14ac:dyDescent="0.25">
      <c r="A8">
        <v>3</v>
      </c>
      <c r="B8">
        <v>1</v>
      </c>
      <c r="C8" t="s">
        <v>261</v>
      </c>
      <c r="D8" t="s">
        <v>262</v>
      </c>
      <c r="E8">
        <v>36</v>
      </c>
      <c r="F8" t="s">
        <v>139</v>
      </c>
      <c r="G8" t="s">
        <v>264</v>
      </c>
    </row>
    <row r="9" spans="1:7" x14ac:dyDescent="0.25">
      <c r="A9">
        <v>3</v>
      </c>
      <c r="B9">
        <v>1</v>
      </c>
      <c r="C9" t="s">
        <v>263</v>
      </c>
      <c r="D9" t="s">
        <v>31</v>
      </c>
      <c r="E9">
        <v>36</v>
      </c>
      <c r="F9" t="s">
        <v>140</v>
      </c>
      <c r="G9" t="s">
        <v>298</v>
      </c>
    </row>
    <row r="11" spans="1:7" x14ac:dyDescent="0.25">
      <c r="A11">
        <v>3</v>
      </c>
      <c r="B11">
        <v>1</v>
      </c>
      <c r="C11" t="s">
        <v>309</v>
      </c>
      <c r="D11" t="s">
        <v>336</v>
      </c>
      <c r="E11">
        <v>36</v>
      </c>
      <c r="F11" t="s">
        <v>278</v>
      </c>
      <c r="G11" t="s">
        <v>265</v>
      </c>
    </row>
    <row r="12" spans="1:7" x14ac:dyDescent="0.25">
      <c r="A12">
        <v>3</v>
      </c>
      <c r="B12">
        <v>2</v>
      </c>
      <c r="C12" t="s">
        <v>315</v>
      </c>
      <c r="D12" t="s">
        <v>310</v>
      </c>
      <c r="E12">
        <v>36</v>
      </c>
      <c r="F12" t="s">
        <v>311</v>
      </c>
      <c r="G12" t="s">
        <v>264</v>
      </c>
    </row>
    <row r="13" spans="1:7" x14ac:dyDescent="0.25">
      <c r="A13">
        <v>3</v>
      </c>
      <c r="B13">
        <v>2</v>
      </c>
      <c r="C13" t="s">
        <v>314</v>
      </c>
      <c r="D13" t="s">
        <v>318</v>
      </c>
      <c r="E13">
        <v>36</v>
      </c>
      <c r="F13" t="s">
        <v>316</v>
      </c>
      <c r="G13" t="s">
        <v>264</v>
      </c>
    </row>
    <row r="14" spans="1:7" x14ac:dyDescent="0.25">
      <c r="A14">
        <v>3</v>
      </c>
      <c r="B14">
        <v>2</v>
      </c>
      <c r="C14" t="s">
        <v>325</v>
      </c>
      <c r="D14" t="s">
        <v>317</v>
      </c>
      <c r="E14">
        <v>36</v>
      </c>
      <c r="F14" t="s">
        <v>316</v>
      </c>
      <c r="G14" t="s">
        <v>265</v>
      </c>
    </row>
    <row r="16" spans="1:7" x14ac:dyDescent="0.25">
      <c r="A16">
        <v>3</v>
      </c>
      <c r="B16">
        <v>1</v>
      </c>
      <c r="C16" t="s">
        <v>312</v>
      </c>
      <c r="D16" t="s">
        <v>319</v>
      </c>
      <c r="E16">
        <v>36</v>
      </c>
      <c r="F16" t="s">
        <v>324</v>
      </c>
      <c r="G16" t="s">
        <v>264</v>
      </c>
    </row>
    <row r="17" spans="1:7" x14ac:dyDescent="0.25">
      <c r="A17">
        <v>3</v>
      </c>
      <c r="B17">
        <v>2</v>
      </c>
      <c r="C17" t="s">
        <v>321</v>
      </c>
      <c r="D17" t="s">
        <v>320</v>
      </c>
      <c r="E17">
        <v>36</v>
      </c>
      <c r="F17" t="s">
        <v>313</v>
      </c>
      <c r="G17" t="s">
        <v>264</v>
      </c>
    </row>
    <row r="18" spans="1:7" x14ac:dyDescent="0.25">
      <c r="A18">
        <v>3</v>
      </c>
      <c r="B18">
        <v>2</v>
      </c>
      <c r="C18" t="s">
        <v>322</v>
      </c>
      <c r="D18" t="s">
        <v>323</v>
      </c>
      <c r="E18">
        <v>36</v>
      </c>
      <c r="F18" t="s">
        <v>313</v>
      </c>
      <c r="G18" t="s">
        <v>265</v>
      </c>
    </row>
    <row r="20" spans="1:7" x14ac:dyDescent="0.25">
      <c r="A20">
        <v>4</v>
      </c>
      <c r="B20">
        <v>1</v>
      </c>
      <c r="C20" t="s">
        <v>326</v>
      </c>
      <c r="D20" t="s">
        <v>318</v>
      </c>
      <c r="E20">
        <v>36</v>
      </c>
      <c r="F20" t="s">
        <v>316</v>
      </c>
      <c r="G20" t="s">
        <v>264</v>
      </c>
    </row>
    <row r="21" spans="1:7" x14ac:dyDescent="0.25">
      <c r="A21">
        <v>4</v>
      </c>
      <c r="B21">
        <v>1</v>
      </c>
      <c r="C21" t="s">
        <v>327</v>
      </c>
      <c r="D21" t="s">
        <v>317</v>
      </c>
      <c r="E21">
        <v>36</v>
      </c>
      <c r="F21" t="s">
        <v>316</v>
      </c>
      <c r="G21" t="s">
        <v>265</v>
      </c>
    </row>
    <row r="22" spans="1:7" x14ac:dyDescent="0.25">
      <c r="A22">
        <v>4</v>
      </c>
      <c r="B22">
        <v>1</v>
      </c>
      <c r="C22" t="s">
        <v>329</v>
      </c>
      <c r="D22" t="s">
        <v>328</v>
      </c>
      <c r="E22">
        <v>36</v>
      </c>
      <c r="F22" t="s">
        <v>280</v>
      </c>
      <c r="G22" t="s">
        <v>264</v>
      </c>
    </row>
    <row r="23" spans="1:7" x14ac:dyDescent="0.25">
      <c r="A23">
        <v>4</v>
      </c>
      <c r="B23">
        <v>1</v>
      </c>
      <c r="C23" t="s">
        <v>330</v>
      </c>
      <c r="D23" t="s">
        <v>117</v>
      </c>
      <c r="E23">
        <v>36</v>
      </c>
      <c r="F23" t="s">
        <v>331</v>
      </c>
      <c r="G23" t="s">
        <v>265</v>
      </c>
    </row>
    <row r="25" spans="1:7" x14ac:dyDescent="0.25">
      <c r="A25">
        <v>4</v>
      </c>
      <c r="B25">
        <v>1</v>
      </c>
      <c r="C25" t="s">
        <v>333</v>
      </c>
      <c r="D25" t="s">
        <v>332</v>
      </c>
      <c r="E25">
        <v>36</v>
      </c>
      <c r="F25" t="s">
        <v>334</v>
      </c>
    </row>
    <row r="26" spans="1:7" x14ac:dyDescent="0.25">
      <c r="A26">
        <v>4</v>
      </c>
      <c r="B26">
        <v>1</v>
      </c>
      <c r="C26" t="s">
        <v>335</v>
      </c>
      <c r="D26" t="s">
        <v>122</v>
      </c>
      <c r="E26">
        <v>36</v>
      </c>
      <c r="F26" t="s">
        <v>334</v>
      </c>
    </row>
    <row r="29" spans="1:7" x14ac:dyDescent="0.25">
      <c r="A29" t="s">
        <v>281</v>
      </c>
    </row>
    <row r="30" spans="1:7" x14ac:dyDescent="0.25">
      <c r="A30" t="s">
        <v>307</v>
      </c>
      <c r="B30" t="s">
        <v>258</v>
      </c>
      <c r="C30" t="s">
        <v>308</v>
      </c>
    </row>
    <row r="31" spans="1:7" x14ac:dyDescent="0.25">
      <c r="A31" t="s">
        <v>302</v>
      </c>
      <c r="B31" t="s">
        <v>259</v>
      </c>
      <c r="C31" t="s">
        <v>303</v>
      </c>
    </row>
    <row r="32" spans="1:7" x14ac:dyDescent="0.25">
      <c r="A32" t="s">
        <v>304</v>
      </c>
      <c r="B32" t="s">
        <v>260</v>
      </c>
      <c r="C32" t="s">
        <v>303</v>
      </c>
    </row>
    <row r="33" spans="1:3" x14ac:dyDescent="0.25">
      <c r="A33" t="s">
        <v>305</v>
      </c>
      <c r="B33" t="s">
        <v>259</v>
      </c>
      <c r="C33" t="s">
        <v>308</v>
      </c>
    </row>
    <row r="34" spans="1:3" x14ac:dyDescent="0.25">
      <c r="A34" t="s">
        <v>306</v>
      </c>
      <c r="B34" t="s">
        <v>260</v>
      </c>
      <c r="C34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Титул</vt:lpstr>
      <vt:lpstr>Сводные данные по бюджету време</vt:lpstr>
      <vt:lpstr>график</vt:lpstr>
      <vt:lpstr>!план для правки</vt:lpstr>
      <vt:lpstr>план короткий (НЕ ПРАВИТЬ)</vt:lpstr>
      <vt:lpstr>Кабинеты</vt:lpstr>
      <vt:lpstr>экзамены</vt:lpstr>
      <vt:lpstr>практика и ДЭ</vt:lpstr>
      <vt:lpstr>а1</vt:lpstr>
      <vt:lpstr>'!план для правки'!Область_печати</vt:lpstr>
      <vt:lpstr>'план короткий (НЕ ПРАВИТЬ)'!Область_печати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В. Шешегова</cp:lastModifiedBy>
  <cp:lastPrinted>2019-10-18T11:53:49Z</cp:lastPrinted>
  <dcterms:created xsi:type="dcterms:W3CDTF">2017-01-08T18:54:12Z</dcterms:created>
  <dcterms:modified xsi:type="dcterms:W3CDTF">2019-10-25T05:43:25Z</dcterms:modified>
</cp:coreProperties>
</file>